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09eAzipBeJmocffztWUahZBOR3ga9mM+mM/fmJdSJqzUwH9XXS0O0YSlrerYPkw07nOEwNu6eH/bAXJWLuXLIw==" workbookSaltValue="9zWl88wvri7dQQErZHEv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AA19" i="8" s="1"/>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AP16" i="20"/>
  <c r="BH9"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D9" i="8"/>
  <c r="S15" i="17"/>
  <c r="L15" i="2"/>
  <c r="L12" i="2"/>
  <c r="L17" i="2"/>
  <c r="X10" i="21"/>
  <c r="X15" i="16"/>
  <c r="X18" i="16" s="1"/>
  <c r="AA11" i="16"/>
  <c r="V10" i="16"/>
  <c r="L9" i="2"/>
  <c r="T13" i="16"/>
  <c r="AP13" i="16"/>
  <c r="AA9" i="16"/>
  <c r="F15" i="16"/>
  <c r="BL15" i="16" s="1"/>
  <c r="V9" i="16"/>
  <c r="T18" i="17"/>
  <c r="BF15" i="13"/>
  <c r="BG15" i="13"/>
  <c r="BA18" i="13"/>
  <c r="G18" i="14"/>
  <c r="AO20" i="20"/>
  <c r="AN20" i="20"/>
  <c r="H20" i="20"/>
  <c r="AM20" i="20"/>
  <c r="E20" i="20"/>
  <c r="I20" i="20"/>
  <c r="K20" i="20"/>
  <c r="P20" i="20"/>
  <c r="N20" i="20"/>
  <c r="U12" i="11"/>
  <c r="L20" i="20"/>
  <c r="U16" i="11"/>
  <c r="AI20" i="20"/>
  <c r="AF20" i="20"/>
  <c r="AX20" i="20"/>
  <c r="AZ20" i="20"/>
  <c r="AG20" i="20"/>
  <c r="AC20" i="20"/>
  <c r="Q20" i="20"/>
  <c r="U10" i="11"/>
  <c r="Z20" i="20"/>
  <c r="AA20" i="20"/>
  <c r="M20" i="20"/>
  <c r="F20" i="20"/>
  <c r="O20" i="20"/>
  <c r="AU20" i="20"/>
  <c r="W20" i="21"/>
  <c r="X20" i="20"/>
  <c r="AH20" i="20"/>
  <c r="AQ20" i="20"/>
  <c r="W20" i="20"/>
  <c r="AK20" i="20"/>
  <c r="AQ20" i="21"/>
  <c r="F17" i="16" l="1"/>
  <c r="BL17" i="16" s="1"/>
  <c r="AM19" i="8"/>
  <c r="AC19" i="8"/>
  <c r="AK19" i="8"/>
  <c r="AI19" i="8"/>
  <c r="D18" i="12"/>
  <c r="BE12" i="8"/>
  <c r="I12" i="7" s="1"/>
  <c r="BG12" i="8"/>
  <c r="K12" i="7" s="1"/>
  <c r="R19" i="8"/>
  <c r="T19" i="8"/>
  <c r="BG10" i="8"/>
  <c r="K10" i="7" s="1"/>
  <c r="H9" i="7"/>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AM15" i="11"/>
  <c r="J12" i="7"/>
  <c r="AO12" i="17"/>
  <c r="B12" i="6"/>
  <c r="D12" i="6"/>
  <c r="J12" i="12" s="1"/>
  <c r="AL12" i="11"/>
  <c r="I13" i="2"/>
  <c r="D16" i="2"/>
  <c r="L12" i="14"/>
  <c r="AN12" i="11"/>
  <c r="AM12" i="11"/>
  <c r="C12" i="6"/>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I10" i="12"/>
  <c r="K10"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K16" i="7" l="1"/>
  <c r="Q12" i="11"/>
  <c r="AA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<sst xmlns="http://schemas.openxmlformats.org/spreadsheetml/2006/main" count="2094" uniqueCount="912">
  <si>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</si>
  <si>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</si>
  <si>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</si>
  <si>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</si>
  <si>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</si>
  <si>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</si>
  <si>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</si>
  <si>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</si>
  <si>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</si>
  <si>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</si>
  <si>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</si>
  <si>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</si>
  <si>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</si>
  <si>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</si>
  <si>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</si>
  <si>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</si>
  <si>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</si>
  <si>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</si>
  <si>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</si>
  <si>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</si>
  <si>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</si>
  <si>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</si>
  <si>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</si>
  <si>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</si>
  <si>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</si>
  <si>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</si>
  <si>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</si>
  <si>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</si>
  <si>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</si>
  <si>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</si>
  <si>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</si>
  <si>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</si>
  <si>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</si>
  <si>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</si>
  <si>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</si>
  <si>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</si>
  <si>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</si>
  <si>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</si>
  <si>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</si>
  <si>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</si>
  <si>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</si>
  <si>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</si>
  <si>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</si>
  <si>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</si>
  <si>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</si>
  <si>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</si>
  <si>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</si>
  <si>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</si>
  <si>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</si>
  <si>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</si>
  <si>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</si>
  <si>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</si>
  <si>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</si>
  <si>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</si>
  <si>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</si>
  <si>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</si>
  <si>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</si>
  <si>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</si>
  <si>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</si>
  <si>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</si>
  <si>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</si>
  <si>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</si>
  <si>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</si>
  <si>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</si>
  <si>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</si>
  <si>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</si>
  <si>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</si>
  <si>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</si>
  <si>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</si>
  <si>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</si>
  <si>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</si>
  <si>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</si>
  <si>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</si>
  <si>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</si>
  <si>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</si>
  <si>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</si>
  <si>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</si>
  <si>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</si>
  <si>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</si>
  <si>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</si>
  <si>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</si>
  <si>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</si>
  <si>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</si>
  <si>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</si>
  <si>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</si>
  <si>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</si>
  <si>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</si>
  <si>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</si>
  <si>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</si>
  <si>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</si>
  <si>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</si>
  <si>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</si>
  <si>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</si>
  <si>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</si>
  <si>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</si>
  <si>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</si>
  <si>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</si>
  <si>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</si>
  <si>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</si>
  <si>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</si>
  <si>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</si>
  <si>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</si>
  <si>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</si>
  <si>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</si>
  <si>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</si>
  <si>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</si>
  <si>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</si>
  <si>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</si>
  <si>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</si>
  <si>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</si>
  <si>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</si>
  <si>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</si>
  <si>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</si>
  <si>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</si>
  <si>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</si>
  <si>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</si>
  <si>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</si>
  <si>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</si>
  <si>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</si>
  <si>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</si>
  <si>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</si>
  <si>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</si>
  <si>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</si>
  <si>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</si>
  <si>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</si>
  <si>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</si>
  <si>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</si>
  <si>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</si>
  <si>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</si>
  <si>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</si>
  <si>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</si>
  <si>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</si>
  <si>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</si>
  <si>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</si>
  <si>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</si>
  <si>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</si>
  <si>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</si>
  <si>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</si>
  <si>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</si>
  <si>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</si>
  <si>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</si>
  <si>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</si>
  <si>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</si>
  <si>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</si>
  <si>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</si>
  <si>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</si>
  <si>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</si>
  <si>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</si>
  <si>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</si>
  <si>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</si>
  <si>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</si>
  <si>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</si>
  <si>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</si>
  <si>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</si>
  <si>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</si>
  <si>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</si>
  <si>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</si>
  <si>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</si>
  <si>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</si>
  <si>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</si>
  <si>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</si>
  <si>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</si>
  <si>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</si>
  <si>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</si>
  <si>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</si>
  <si>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</si>
  <si>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</si>
  <si>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</si>
  <si>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</si>
  <si>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</si>
  <si>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</si>
  <si>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</si>
  <si>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</si>
  <si>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</si>
  <si>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</si>
  <si>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</si>
  <si>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</si>
  <si>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</si>
  <si>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</si>
  <si>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</si>
  <si>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</si>
  <si>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</si>
  <si>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</si>
  <si>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</si>
  <si>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</si>
  <si>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</si>
  <si>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</si>
  <si>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</si>
  <si>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</si>
  <si>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</si>
  <si>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</si>
  <si>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</si>
  <si>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</si>
  <si>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</si>
  <si>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</si>
  <si>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</si>
  <si>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</si>
  <si>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</si>
  <si>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</si>
  <si>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</si>
  <si>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</si>
  <si>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</si>
  <si>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</si>
  <si>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</si>
  <si>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</si>
  <si>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</si>
  <si>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</si>
  <si>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</si>
  <si>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</si>
  <si>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</si>
  <si>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</si>
  <si>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</si>
  <si>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</si>
  <si>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</si>
  <si>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</si>
  <si>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</si>
  <si>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</si>
  <si>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</si>
  <si>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</si>
  <si>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</si>
  <si>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</si>
  <si>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</si>
  <si>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</si>
  <si>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</si>
  <si>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</si>
  <si>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</si>
  <si>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</si>
  <si>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</si>
  <si>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</si>
  <si>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</si>
  <si>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</si>
  <si>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</si>
  <si>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</si>
  <si>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</si>
  <si>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</si>
  <si>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</si>
  <si>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</si>
  <si>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</si>
  <si>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</si>
  <si>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</si>
  <si>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</si>
  <si>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</si>
  <si>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</si>
  <si>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</si>
  <si>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</si>
  <si>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</si>
  <si>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</si>
  <si>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</si>
  <si>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</si>
  <si>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</si>
  <si>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</si>
  <si>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</si>
  <si>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</si>
  <si>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</si>
  <si>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</si>
  <si>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</si>
  <si>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</si>
  <si>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</si>
  <si>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</si>
  <si>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</si>
  <si>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</si>
  <si>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</si>
  <si>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</si>
  <si>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</si>
  <si>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</si>
  <si>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</si>
  <si>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</si>
  <si>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</si>
  <si>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</si>
  <si>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</si>
  <si>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</si>
  <si>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</si>
  <si>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</si>
  <si>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</si>
  <si>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</si>
  <si>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</si>
  <si>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</si>
  <si>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</si>
  <si>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</si>
  <si>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</si>
  <si>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</si>
  <si>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</si>
  <si>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</si>
  <si>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</si>
  <si>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</si>
  <si>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</si>
  <si>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</si>
  <si>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</si>
  <si>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</si>
  <si>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</si>
  <si>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</si>
  <si>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</si>
  <si>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</si>
  <si>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</si>
  <si>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</si>
  <si>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</si>
  <si>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</si>
  <si>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</si>
  <si>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</si>
  <si>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</si>
  <si>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</si>
  <si>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</si>
  <si>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</si>
  <si>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</si>
  <si>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</si>
  <si>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</si>
  <si>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</si>
  <si>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</si>
  <si>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</si>
  <si>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</si>
  <si>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</si>
  <si>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</si>
  <si>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</si>
  <si>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</si>
  <si>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</si>
  <si>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</si>
  <si>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</si>
  <si>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</si>
  <si>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</si>
  <si>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</si>
  <si>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</si>
  <si>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</si>
  <si>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</si>
  <si>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</si>
  <si>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</si>
  <si>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</si>
  <si>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</si>
  <si>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</si>
  <si>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</si>
  <si>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</si>
  <si>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</si>
  <si>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</si>
  <si>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</si>
  <si>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</si>
  <si>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</si>
  <si>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</si>
  <si>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</si>
  <si>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</si>
  <si>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</si>
  <si>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</si>
  <si>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</si>
  <si>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</si>
  <si>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</si>
  <si>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</si>
  <si>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</si>
  <si>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</si>
  <si>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</si>
  <si>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</si>
  <si>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</si>
  <si>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</si>
  <si>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</si>
  <si>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</si>
  <si>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</si>
  <si>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</si>
  <si>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</si>
  <si>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</si>
  <si>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</si>
  <si>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</si>
  <si>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</si>
  <si>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</si>
  <si>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</si>
  <si>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</si>
  <si>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</si>
  <si>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</si>
  <si>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</si>
  <si>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</si>
  <si>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</si>
  <si>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</si>
  <si>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</si>
  <si>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</si>
  <si>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</si>
  <si>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</si>
  <si>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</si>
  <si>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</si>
  <si>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</si>
  <si>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</si>
  <si>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</si>
  <si>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</si>
  <si>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</si>
  <si>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</si>
  <si>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</si>
  <si>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</si>
  <si>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</si>
  <si>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</si>
  <si>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</si>
  <si>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</si>
  <si>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</si>
  <si>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</si>
  <si>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</si>
  <si>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</si>
  <si>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</si>
  <si>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</si>
  <si>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</si>
  <si>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</si>
  <si>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</si>
  <si>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</si>
  <si>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</si>
  <si>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</si>
  <si>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</si>
  <si>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</si>
  <si>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</si>
  <si>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</si>
  <si>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</si>
  <si>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</si>
  <si>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</si>
  <si>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</si>
  <si>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</si>
  <si>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</si>
  <si>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</si>
  <si>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</si>
  <si>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</si>
  <si>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</si>
  <si>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</si>
  <si>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</si>
  <si>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</si>
  <si>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</si>
  <si>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</si>
  <si>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</si>
  <si>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</si>
  <si>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</si>
  <si>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</si>
  <si>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</si>
  <si>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</si>
  <si>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</si>
  <si>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</si>
  <si>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</si>
  <si>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</si>
  <si>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</si>
  <si>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</si>
  <si>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</si>
  <si>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</si>
  <si>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</si>
  <si>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</si>
  <si>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</si>
  <si>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</si>
  <si>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</si>
  <si>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</si>
  <si>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</si>
  <si>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</si>
  <si>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</si>
  <si>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</si>
  <si>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</si>
  <si>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</si>
  <si>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</si>
  <si>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</si>
  <si>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</si>
  <si>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</si>
  <si>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</si>
  <si>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</si>
  <si>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</si>
  <si>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</si>
  <si>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</si>
  <si>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</si>
  <si>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</si>
  <si>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</si>
  <si>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</si>
  <si>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</si>
  <si>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</si>
  <si>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</si>
  <si>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</si>
  <si>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</si>
  <si>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</si>
  <si>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</si>
  <si>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</si>
  <si>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</si>
  <si>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</si>
  <si>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</si>
  <si>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</si>
  <si>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</si>
  <si>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</si>
  <si>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</si>
  <si>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</si>
  <si>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</si>
  <si>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</si>
  <si>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</si>
  <si>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</si>
  <si>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</si>
  <si>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</si>
  <si>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</si>
  <si>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</si>
  <si>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</si>
  <si>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</si>
  <si>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</si>
  <si>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</si>
  <si>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</si>
  <si>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</si>
  <si>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</si>
  <si>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</si>
  <si>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</si>
  <si>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</si>
  <si>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</si>
  <si>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</si>
  <si>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</si>
  <si>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</si>
  <si>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</si>
  <si>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</si>
  <si>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</si>
  <si>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</si>
  <si>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</si>
  <si>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</si>
  <si>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</si>
  <si>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</si>
  <si>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</si>
  <si>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</si>
  <si>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</si>
  <si>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</si>
  <si>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</si>
  <si>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</si>
  <si>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</si>
  <si>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</si>
  <si>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</si>
  <si>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</si>
  <si>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</si>
  <si>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</si>
  <si>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</si>
  <si>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</si>
  <si>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</si>
  <si>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</si>
  <si>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</si>
  <si>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</si>
  <si>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</si>
  <si>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</si>
  <si>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</si>
  <si>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</si>
  <si>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</si>
  <si>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</si>
  <si>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</si>
  <si>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</si>
  <si>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</si>
  <si>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</si>
  <si>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</si>
  <si>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</si>
  <si>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</si>
  <si>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</si>
  <si>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</si>
  <si>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</si>
  <si>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</si>
  <si>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</si>
  <si>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</si>
  <si>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</si>
  <si>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</si>
  <si>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</si>
  <si>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</si>
  <si>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</si>
  <si>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</si>
  <si>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</si>
  <si>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</si>
  <si>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</si>
  <si>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</si>
  <si>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</si>
  <si>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</si>
  <si>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</si>
  <si>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</si>
  <si>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</si>
  <si>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</si>
  <si>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</si>
  <si>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</si>
  <si>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</si>
  <si>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</si>
  <si>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</si>
  <si>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</si>
  <si>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</si>
  <si>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</si>
  <si>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</si>
  <si>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</si>
  <si>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</si>
  <si>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</si>
  <si>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</si>
  <si>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</si>
  <si>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</si>
  <si>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</si>
  <si>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</si>
  <si>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</si>
  <si>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</si>
  <si>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</si>
  <si>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</si>
  <si>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</si>
  <si>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</si>
  <si>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</si>
  <si>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</si>
  <si>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</si>
  <si>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</si>
  <si>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</si>
  <si>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</si>
  <si>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</si>
  <si>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</si>
  <si>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</si>
  <si>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</si>
  <si>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</si>
  <si>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</si>
  <si>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</si>
  <si>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</si>
  <si>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</si>
  <si>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</si>
  <si>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</si>
  <si>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</si>
  <si>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</si>
  <si>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</si>
  <si>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</si>
  <si>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</si>
  <si>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</si>
  <si>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</si>
  <si>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</si>
  <si>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</si>
  <si>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</si>
  <si>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</si>
  <si>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</si>
  <si>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</si>
  <si>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</si>
  <si>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</si>
  <si>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</si>
  <si>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</si>
  <si>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</si>
  <si>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</si>
  <si>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</si>
  <si>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</si>
  <si>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</si>
  <si>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</si>
  <si>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</si>
  <si>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</si>
  <si>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</si>
  <si>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</si>
  <si>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</si>
  <si>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</si>
  <si>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</si>
  <si>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</si>
  <si>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</si>
  <si>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</si>
  <si>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</si>
  <si>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</si>
  <si>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</si>
  <si>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</si>
  <si>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</si>
  <si>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</si>
  <si>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</si>
  <si>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</si>
  <si>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</si>
  <si>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</si>
  <si>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</si>
  <si>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</si>
  <si>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</si>
  <si>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</si>
  <si>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</si>
  <si>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</si>
  <si>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</si>
  <si>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</si>
  <si>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</si>
  <si>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</si>
  <si>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</si>
  <si>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</si>
  <si>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</si>
  <si>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</si>
  <si>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</si>
  <si>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</si>
  <si>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</si>
  <si>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</si>
  <si>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</si>
  <si>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</si>
  <si>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</si>
  <si>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</si>
  <si>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</si>
  <si>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</si>
  <si>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</si>
  <si>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</si>
  <si>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</si>
  <si>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</si>
  <si>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</si>
  <si>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</si>
  <si>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</si>
  <si>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</si>
  <si>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</si>
  <si>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</si>
  <si>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</si>
  <si>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</si>
  <si>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</si>
  <si>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</si>
  <si>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</si>
  <si>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</si>
  <si>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</si>
  <si>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</si>
  <si>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</si>
  <si>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</si>
  <si>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</si>
  <si>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</si>
  <si>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</si>
  <si>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</si>
  <si>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</si>
  <si>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</si>
  <si>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</si>
  <si>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</si>
  <si>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</si>
  <si>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</si>
  <si>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</si>
  <si>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</si>
  <si>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</si>
  <si>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</si>
  <si>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</si>
  <si>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</si>
  <si>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</si>
  <si>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</si>
  <si>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</si>
  <si>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</si>
  <si>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</si>
  <si>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</si>
  <si>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</si>
  <si>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</si>
  <si>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</si>
  <si>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</si>
  <si>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</si>
  <si>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</si>
  <si>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</si>
  <si>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</si>
  <si>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</si>
  <si>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</si>
  <si>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</si>
  <si>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</si>
  <si>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</si>
  <si>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</si>
  <si>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</si>
  <si>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</si>
  <si>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</si>
  <si>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</si>
  <si>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</si>
  <si>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</si>
  <si>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</si>
  <si>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</si>
  <si>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</si>
  <si>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</si>
  <si>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</si>
  <si>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</si>
  <si>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</si>
  <si>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</si>
  <si>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</si>
  <si>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</si>
  <si>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</si>
  <si>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</si>
  <si>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</si>
  <si>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</si>
  <si>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</si>
  <si>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</si>
  <si>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</si>
  <si>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</si>
  <si>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</si>
  <si>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</si>
  <si>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</si>
  <si>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</si>
  <si>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</si>
  <si>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</si>
  <si>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</si>
  <si>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</si>
  <si>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</si>
  <si>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</si>
  <si>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</si>
  <si>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</si>
  <si>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</si>
  <si>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</si>
  <si>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</si>
  <si>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</si>
  <si>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</si>
  <si>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</si>
  <si>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</si>
  <si>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</si>
  <si>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</si>
  <si>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</si>
  <si>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</si>
  <si>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</si>
  <si>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</si>
  <si>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</si>
  <si>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</si>
  <si>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</si>
  <si>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</si>
  <si>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</si>
  <si>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</si>
  <si>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</si>
  <si>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</si>
  <si>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</si>
  <si>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</si>
  <si>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</si>
  <si>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</si>
  <si>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</si>
  <si>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</si>
  <si>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</si>
  <si>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</si>
  <si>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</si>
  <si>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</si>
  <si>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</si>
  <si>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</si>
  <si>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</si>
  <si>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</si>
  <si>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</si>
  <si>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</si>
  <si>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</si>
  <si>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</si>
  <si>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</si>
  <si>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</si>
  <si>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</si>
  <si>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</si>
  <si>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</si>
  <si>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</si>
  <si>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</si>
  <si>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</si>
  <si>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</si>
  <si>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</si>
  <si>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</si>
  <si>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</si>
  <si>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</si>
  <si>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</si>
  <si>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</si>
  <si>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</si>
  <si>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</si>
  <si>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</si>
  <si>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</si>
  <si>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</si>
  <si>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</si>
  <si>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</si>
  <si>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</si>
  <si>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</si>
  <si>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</si>
  <si>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</si>
  <si>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</si>
  <si>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</si>
  <si>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</si>
  <si>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</si>
  <si>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</si>
  <si>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</si>
  <si>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</si>
  <si>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</si>
  <si>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</si>
  <si>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</si>
  <si>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</si>
  <si>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</si>
  <si>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</si>
  <si>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</si>
  <si>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</si>
  <si>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</si>
  <si>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</si>
  <si>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</si>
  <si>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</si>
  <si>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</si>
  <si>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</si>
  <si>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</si>
  <si>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</si>
  <si>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</si>
  <si>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</si>
  <si>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</si>
  <si>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</si>
  <si>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</si>
  <si>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</si>
  <si>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</si>
  <si>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</si>
  <si>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</si>
  <si>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</si>
  <si>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</si>
  <si>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</si>
  <si>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</si>
  <si>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</si>
  <si>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</si>
  <si>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</si>
  <si>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</si>
  <si>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</si>
  <si>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</si>
  <si>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</si>
  <si>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</si>
  <si>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</si>
  <si>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</si>
  <si>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</si>
  <si>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</si>
  <si>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</si>
  <si>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</si>
  <si>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</si>
  <si>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</si>
  <si>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</si>
  <si>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</si>
  <si>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</si>
  <si>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</si>
  <si>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</si>
  <si>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</si>
  <si>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</si>
  <si>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</si>
  <si>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</si>
  <si>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</si>
  <si>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</si>
  <si>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</si>
  <si>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</si>
  <si>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</si>
  <si>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</si>
  <si>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</si>
  <si>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</si>
  <si>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</si>
  <si>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</si>
  <si>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</si>
  <si>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</si>
  <si>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</si>
  <si>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</si>
  <si>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</si>
  <si>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</si>
  <si>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</si>
  <si>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</si>
  <si>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</si>
  <si>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</si>
  <si>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</si>
  <si>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</si>
  <si>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</si>
  <si>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</si>
  <si>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</si>
  <si>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</si>
  <si>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</si>
  <si>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</si>
  <si>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NAVARRA</t>
  </si>
  <si>
    <t>Provincias</t>
  </si>
  <si>
    <t>Resumenes por Partidos Judiciales</t>
  </si>
  <si>
    <t>ESTELLA-LIZARRA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</si>
</sst>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yOSt2Er0WbsR9q+pJ1Vglk1H93uYXa+cu7jomegNUrKHPNIAA8fQYqHOfYMZWanpxKPTToKtZRIXXXZgQBZnQ==" saltValue="sQZdrIPerR/Py6nw52WM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NAVARRA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35</v>
      </c>
      <c r="D10" s="228">
        <f>IF(ISNUMBER(Datos!I10),Datos!I10," - ")</f>
        <v>35</v>
      </c>
      <c r="E10" s="229">
        <f>IF(ISNUMBER(Datos!J10),Datos!J10," - ")</f>
        <v>6</v>
      </c>
      <c r="F10" s="229">
        <f>IF(ISNUMBER(Datos!K10),Datos!K10," - ")</f>
        <v>5</v>
      </c>
      <c r="G10" s="1037" t="str">
        <f>IF(Datos!E10&lt;&gt;"",Datos!E10,Datos!D10)</f>
        <v>37</v>
      </c>
      <c r="H10" s="230">
        <f>IF(ISNUMBER(Datos!L10),Datos!L10," - ")</f>
        <v>36</v>
      </c>
      <c r="I10" s="1047" t="str">
        <f>IF(ISNUMBER(Datos!AS10/Datos!BM10),Datos!AS10/Datos!BM10," - ")</f>
        <v xml:space="preserve"> - </v>
      </c>
      <c r="J10" s="1048">
        <f>IF(ISNUMBER(Datos!BY10/Datos!CN10),Datos!BY10/Datos!CN10," - ")</f>
        <v>0</v>
      </c>
      <c r="K10" s="233">
        <f t="shared" ref="K10:K12" si="1">IF(ISNUMBER((E10-F10)/C10),(E10-F10)/C10," - ")</f>
        <v>2.8571428571428571E-2</v>
      </c>
      <c r="L10" s="1028">
        <f>IF(ISNUMBER(NºAsuntos!I10/NºAsuntos!G10),(NºAsuntos!I10/NºAsuntos!G10)*11," - ")</f>
        <v>79.2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23.5841784989858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35</v>
      </c>
      <c r="D13" s="1052">
        <f>SUBTOTAL(9,D9:D12)</f>
        <v>35</v>
      </c>
      <c r="E13" s="1053">
        <f>SUBTOTAL(9,E9:E12)</f>
        <v>6</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495</v>
      </c>
      <c r="D16" s="228">
        <f>IF(ISNUMBER(IF(D_I="SI",Datos!I16,Datos!I16+Datos!AC16)),IF(D_I="SI",Datos!I16,Datos!I16+Datos!AC16)," - ")</f>
        <v>486</v>
      </c>
      <c r="E16" s="229">
        <f>IF(ISNUMBER(IF(D_I="SI",Datos!J16,Datos!J16+Datos!AD16)),IF(D_I="SI",Datos!J16,Datos!J16+Datos!AD16)," - ")</f>
        <v>397</v>
      </c>
      <c r="F16" s="229">
        <f>IF(ISNUMBER(IF(D_I="SI",Datos!K16,Datos!K16+Datos!AE16)),IF(D_I="SI",Datos!K16,Datos!K16+Datos!AE16)," - ")</f>
        <v>398</v>
      </c>
      <c r="G16" s="1037" t="str">
        <f>IF(Datos!E16&lt;&gt;"",Datos!E16,Datos!D16)</f>
        <v>04</v>
      </c>
      <c r="H16" s="230">
        <f>IF(ISNUMBER(IF(D_I="SI",Datos!L16,Datos!L16+Datos!AF16)),IF(D_I="SI",Datos!L16,Datos!L16+Datos!AF16)," - ")</f>
        <v>494</v>
      </c>
      <c r="I16" s="1047" t="str">
        <f>IF(ISNUMBER(Datos!AS16/Datos!BM16),Datos!AS16/Datos!BM16," - ")</f>
        <v xml:space="preserve"> - </v>
      </c>
      <c r="J16" s="1048">
        <f>IF(ISNUMBER(Datos!BY16/Datos!CN16),Datos!BY16/Datos!CN16," - ")</f>
        <v>0</v>
      </c>
      <c r="K16" s="233">
        <f t="shared" si="3"/>
        <v>-2.0202020202020202E-3</v>
      </c>
      <c r="L16" s="1028">
        <f>IF(ISNUMBER(NºAsuntos!I16/NºAsuntos!G16),(NºAsuntos!I16/NºAsuntos!G16)*11," - ")</f>
        <v>13.653266331658291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50</v>
      </c>
      <c r="D17" s="228">
        <f>IF(ISNUMBER(IF(D_I="SI",Datos!I17,Datos!I17+Datos!AC17)),IF(D_I="SI",Datos!I17,Datos!I17+Datos!AC17)," - ")</f>
        <v>50</v>
      </c>
      <c r="E17" s="229">
        <f>IF(ISNUMBER(IF(D_I="SI",Datos!J17,Datos!J17+Datos!AD17)),IF(D_I="SI",Datos!J17,Datos!J17+Datos!AD17)," - ")</f>
        <v>42</v>
      </c>
      <c r="F17" s="229">
        <f>IF(ISNUMBER(IF(D_I="SI",Datos!K17,Datos!K17+Datos!AE17)),IF(D_I="SI",Datos!K17,Datos!K17+Datos!AE17)," - ")</f>
        <v>45</v>
      </c>
      <c r="G17" s="1037" t="str">
        <f>IF(Datos!E17&lt;&gt;"",Datos!E17,Datos!D17)</f>
        <v>37</v>
      </c>
      <c r="H17" s="230">
        <f>IF(ISNUMBER(IF(D_I="SI",Datos!L17,Datos!L17+Datos!AF17)),IF(D_I="SI",Datos!L17,Datos!L17+Datos!AF17)," - ")</f>
        <v>47</v>
      </c>
      <c r="I17" s="1047" t="str">
        <f>IF(ISNUMBER(Datos!AS17/Datos!BM17),Datos!AS17/Datos!BM17," - ")</f>
        <v xml:space="preserve"> - </v>
      </c>
      <c r="J17" s="1048" t="str">
        <f>IF(ISNUMBER((Datos!BY17+Datos!BZ17)/Datos!CN17),(Datos!BY17+Datos!BZ17)/Datos!CN17," - ")</f>
        <v xml:space="preserve"> - </v>
      </c>
      <c r="K17" s="233">
        <f t="shared" si="3"/>
        <v>-0.06</v>
      </c>
      <c r="L17" s="1028">
        <f>IF(ISNUMBER(NºAsuntos!I17/NºAsuntos!G17),(NºAsuntos!I17/NºAsuntos!G17)*11," - ")</f>
        <v>11.488888888888889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545</v>
      </c>
      <c r="D18" s="1052">
        <f>SUBTOTAL(9,D15:D17)</f>
        <v>536</v>
      </c>
      <c r="E18" s="1053">
        <f>SUBTOTAL(9,E15:E17)</f>
        <v>439</v>
      </c>
      <c r="F18" s="1053">
        <f>SUBTOTAL(9,F15:F17)</f>
        <v>443</v>
      </c>
      <c r="G18" s="1055" t="str">
        <f ca="1">INDIRECT(CONCATENATE("G",ROW()-1))</f>
        <v>37</v>
      </c>
      <c r="H18" s="1056">
        <f ca="1">SUMIF(G$14:G17,G18,H$14:H17)</f>
        <v>47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580</v>
      </c>
      <c r="D19" s="1074">
        <f>SUBTOTAL(9,D9:D18)</f>
        <v>571</v>
      </c>
      <c r="E19" s="1075">
        <f>SUBTOTAL(9,E9:E18)</f>
        <v>445</v>
      </c>
      <c r="F19" s="1075">
        <f>SUBTOTAL(9,F9:F18)</f>
        <v>448</v>
      </c>
      <c r="G19" s="1076"/>
      <c r="H19" s="1077">
        <f ca="1">SUMIF(B9:B18,"TOTAL",H9:H18)</f>
        <v>47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gMaEf+g3s39ReeUsibEdC3fziDYkm/Mzwh35I+hTgoIhG0iojPKyfjBqPhLG5GYge0OxL28HUFqvVVAo95qaDw==" saltValue="ca6iR5WgdrBKdu7Jp65Y4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2hg/Cs1CKqvxlZZZ/DINA3GrReUM53O1JnSJP6febFp+UkATEyXdBApQv0n/4rMrtfPZrA67z3keZyiW6i8xBw==" saltValue="S75bg55LCm5Ks7352jAs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35</v>
      </c>
      <c r="J10" s="184">
        <v>6</v>
      </c>
      <c r="K10" s="184">
        <v>5</v>
      </c>
      <c r="L10" s="184">
        <v>36</v>
      </c>
      <c r="M10" s="184">
        <v>1</v>
      </c>
      <c r="N10" s="184">
        <v>2</v>
      </c>
      <c r="O10" s="184">
        <v>0</v>
      </c>
      <c r="P10" s="184">
        <v>0</v>
      </c>
      <c r="Q10" s="184">
        <v>3</v>
      </c>
      <c r="R10" s="184">
        <v>12</v>
      </c>
      <c r="S10" s="184">
        <v>41</v>
      </c>
      <c r="T10" s="184">
        <v>10</v>
      </c>
      <c r="U10" s="184">
        <v>15</v>
      </c>
      <c r="V10" s="184">
        <v>36</v>
      </c>
      <c r="W10" s="184">
        <v>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41</v>
      </c>
      <c r="AZ10" s="129">
        <f t="shared" si="0"/>
        <v>10</v>
      </c>
      <c r="BA10" s="129">
        <f t="shared" si="0"/>
        <v>15</v>
      </c>
      <c r="BB10" s="129">
        <f t="shared" si="0"/>
        <v>36</v>
      </c>
      <c r="BC10" s="125">
        <f t="shared" si="0"/>
        <v>0</v>
      </c>
      <c r="BD10" s="126">
        <f>IF(ISNUMBER(BA10/AZ10),BA10/AZ10," - ")</f>
        <v>1.5</v>
      </c>
      <c r="BE10" s="127">
        <f>IF(ISNUMBER(BB10/BA10),BB10/BA10, " - ")</f>
        <v>2.4</v>
      </c>
      <c r="BF10" s="127">
        <f>IF(ISNUMBER(BC10/BA10),BC10/BA10, " - ")</f>
        <v>0</v>
      </c>
      <c r="BG10" s="199">
        <f>IF(ISNUMBER((AY10+AZ10)/BA10),(AY10+AZ10)/BA10," - ")</f>
        <v>3.4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960</v>
      </c>
      <c r="J12" s="186">
        <v>537</v>
      </c>
      <c r="K12" s="186">
        <v>450</v>
      </c>
      <c r="L12" s="186">
        <v>1047</v>
      </c>
      <c r="M12" s="186">
        <v>129</v>
      </c>
      <c r="N12" s="186">
        <v>151</v>
      </c>
      <c r="O12" s="184">
        <v>230</v>
      </c>
      <c r="P12" s="186">
        <v>129</v>
      </c>
      <c r="Q12" s="186">
        <v>88</v>
      </c>
      <c r="R12" s="186">
        <v>1382</v>
      </c>
      <c r="S12" s="186">
        <v>763</v>
      </c>
      <c r="T12" s="186">
        <v>535</v>
      </c>
      <c r="U12" s="186">
        <v>452</v>
      </c>
      <c r="V12" s="186">
        <v>846</v>
      </c>
      <c r="W12" s="186">
        <v>112</v>
      </c>
      <c r="X12" s="192">
        <v>161</v>
      </c>
      <c r="Y12" s="194">
        <v>2</v>
      </c>
      <c r="Z12" s="184">
        <v>51</v>
      </c>
      <c r="AA12" s="184">
        <v>43</v>
      </c>
      <c r="AB12" s="184">
        <v>10</v>
      </c>
      <c r="AC12" s="186">
        <v>0</v>
      </c>
      <c r="AD12" s="186">
        <v>0</v>
      </c>
      <c r="AE12" s="186">
        <v>0</v>
      </c>
      <c r="AF12" s="192">
        <v>0</v>
      </c>
      <c r="AG12" s="205">
        <v>26</v>
      </c>
      <c r="AH12" s="186">
        <v>40</v>
      </c>
      <c r="AI12" s="186">
        <v>58</v>
      </c>
      <c r="AJ12" s="206">
        <v>8</v>
      </c>
      <c r="AK12" s="185">
        <v>0</v>
      </c>
      <c r="AL12" s="186">
        <v>0</v>
      </c>
      <c r="AM12" s="186">
        <v>0</v>
      </c>
      <c r="AN12" s="192">
        <v>0</v>
      </c>
      <c r="AO12" s="262">
        <v>2</v>
      </c>
      <c r="AP12" s="158">
        <v>2</v>
      </c>
      <c r="AQ12" s="158">
        <v>2</v>
      </c>
      <c r="AR12" s="157">
        <v>2</v>
      </c>
      <c r="AS12" s="343" t="s">
        <v>807</v>
      </c>
      <c r="AT12" s="206"/>
      <c r="AU12" s="205"/>
      <c r="AV12" s="206"/>
      <c r="AW12" s="205"/>
      <c r="AX12" s="206"/>
      <c r="AY12" s="126">
        <f t="shared" si="1"/>
        <v>789</v>
      </c>
      <c r="AZ12" s="127">
        <f t="shared" si="1"/>
        <v>575</v>
      </c>
      <c r="BA12" s="127">
        <f t="shared" si="1"/>
        <v>510</v>
      </c>
      <c r="BB12" s="127">
        <f t="shared" si="1"/>
        <v>854</v>
      </c>
      <c r="BC12" s="125">
        <f>IF(ISNUMBER(X12),X12," - ")</f>
        <v>161</v>
      </c>
      <c r="BD12" s="126">
        <f t="shared" si="2"/>
        <v>0.88695652173913042</v>
      </c>
      <c r="BE12" s="127">
        <f t="shared" si="3"/>
        <v>1.6745098039215687</v>
      </c>
      <c r="BF12" s="127">
        <f t="shared" si="4"/>
        <v>0.31568627450980391</v>
      </c>
      <c r="BG12" s="199">
        <f t="shared" si="5"/>
        <v>2.6745098039215685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995</v>
      </c>
      <c r="J13" s="187">
        <f t="shared" si="6"/>
        <v>543</v>
      </c>
      <c r="K13" s="187">
        <f t="shared" si="6"/>
        <v>455</v>
      </c>
      <c r="L13" s="187">
        <f t="shared" si="6"/>
        <v>1083</v>
      </c>
      <c r="M13" s="187">
        <f t="shared" si="6"/>
        <v>130</v>
      </c>
      <c r="N13" s="187">
        <f t="shared" si="6"/>
        <v>153</v>
      </c>
      <c r="O13" s="187">
        <f t="shared" si="6"/>
        <v>230</v>
      </c>
      <c r="P13" s="187">
        <f t="shared" si="6"/>
        <v>129</v>
      </c>
      <c r="Q13" s="187">
        <f t="shared" si="6"/>
        <v>91</v>
      </c>
      <c r="R13" s="187">
        <f t="shared" si="6"/>
        <v>1394</v>
      </c>
      <c r="S13" s="187">
        <f t="shared" si="6"/>
        <v>804</v>
      </c>
      <c r="T13" s="187">
        <f t="shared" si="6"/>
        <v>545</v>
      </c>
      <c r="U13" s="187">
        <f t="shared" si="6"/>
        <v>467</v>
      </c>
      <c r="V13" s="187">
        <f t="shared" si="6"/>
        <v>882</v>
      </c>
      <c r="W13" s="187">
        <f t="shared" si="6"/>
        <v>112</v>
      </c>
      <c r="X13" s="187">
        <f t="shared" si="6"/>
        <v>162</v>
      </c>
      <c r="Y13" s="187">
        <f t="shared" si="6"/>
        <v>2</v>
      </c>
      <c r="Z13" s="187">
        <f t="shared" si="6"/>
        <v>51</v>
      </c>
      <c r="AA13" s="187">
        <f t="shared" si="6"/>
        <v>43</v>
      </c>
      <c r="AB13" s="187">
        <f t="shared" si="6"/>
        <v>10</v>
      </c>
      <c r="AC13" s="187">
        <f t="shared" si="6"/>
        <v>0</v>
      </c>
      <c r="AD13" s="187">
        <f t="shared" si="6"/>
        <v>0</v>
      </c>
      <c r="AE13" s="187">
        <f t="shared" si="6"/>
        <v>0</v>
      </c>
      <c r="AF13" s="187">
        <f>SUBTOTAL(9,AF9:AF12)</f>
        <v>0</v>
      </c>
      <c r="AG13" s="187">
        <f t="shared" ref="AG13:AT13" si="7">SUBTOTAL(9,AG8:AG12)</f>
        <v>26</v>
      </c>
      <c r="AH13" s="187">
        <f t="shared" si="7"/>
        <v>40</v>
      </c>
      <c r="AI13" s="187">
        <f t="shared" si="7"/>
        <v>58</v>
      </c>
      <c r="AJ13" s="187">
        <f t="shared" si="7"/>
        <v>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830</v>
      </c>
      <c r="AZ13" s="187">
        <f>SUBTOTAL(9,AZ8:AZ12)</f>
        <v>585</v>
      </c>
      <c r="BA13" s="187">
        <f>SUBTOTAL(9,BA8:BA12)</f>
        <v>525</v>
      </c>
      <c r="BB13" s="187">
        <f>SUBTOTAL(9,BB8:BB12)</f>
        <v>890</v>
      </c>
      <c r="BC13" s="187">
        <f>SUBTOTAL(9,BC8:BC12)</f>
        <v>161</v>
      </c>
      <c r="BD13" s="208">
        <f>IF(ISNUMBER(BA13/AZ13),BA13/AZ13," - ")</f>
        <v>0.89743589743589747</v>
      </c>
      <c r="BE13" s="209">
        <f>IF(ISNUMBER(BB13/BA13),BB13/BA13, " - ")</f>
        <v>1.6952380952380952</v>
      </c>
      <c r="BF13" s="209">
        <f>IF(ISNUMBER(BC13/BA13),BC13/BA13, " - ")</f>
        <v>0.30666666666666664</v>
      </c>
      <c r="BG13" s="210">
        <f>IF(ISNUMBER((AY13+AZ13)/BA13),(AY13+AZ13)/BA13," - ")</f>
        <v>2.6952380952380954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486</v>
      </c>
      <c r="J16" s="186">
        <v>397</v>
      </c>
      <c r="K16" s="186">
        <v>398</v>
      </c>
      <c r="L16" s="186">
        <v>494</v>
      </c>
      <c r="M16" s="186">
        <v>70</v>
      </c>
      <c r="N16" s="186">
        <v>207</v>
      </c>
      <c r="O16" s="184">
        <v>1</v>
      </c>
      <c r="P16" s="186">
        <v>7</v>
      </c>
      <c r="Q16" s="186">
        <v>9</v>
      </c>
      <c r="R16" s="186">
        <v>56</v>
      </c>
      <c r="S16" s="186">
        <v>391</v>
      </c>
      <c r="T16" s="186">
        <v>402</v>
      </c>
      <c r="U16" s="186">
        <v>501</v>
      </c>
      <c r="V16" s="186">
        <v>292</v>
      </c>
      <c r="W16" s="186">
        <v>66</v>
      </c>
      <c r="X16" s="192">
        <v>212</v>
      </c>
      <c r="Y16" s="205">
        <v>0</v>
      </c>
      <c r="Z16" s="186">
        <v>0</v>
      </c>
      <c r="AA16" s="186">
        <v>0</v>
      </c>
      <c r="AB16" s="186">
        <v>0</v>
      </c>
      <c r="AC16" s="186">
        <v>5</v>
      </c>
      <c r="AD16" s="186">
        <v>8</v>
      </c>
      <c r="AE16" s="186">
        <v>10</v>
      </c>
      <c r="AF16" s="192">
        <v>3</v>
      </c>
      <c r="AG16" s="205">
        <v>0</v>
      </c>
      <c r="AH16" s="186">
        <v>0</v>
      </c>
      <c r="AI16" s="186">
        <v>0</v>
      </c>
      <c r="AJ16" s="206">
        <v>0</v>
      </c>
      <c r="AK16" s="185">
        <v>6</v>
      </c>
      <c r="AL16" s="186">
        <v>10</v>
      </c>
      <c r="AM16" s="186">
        <v>10</v>
      </c>
      <c r="AN16" s="192">
        <v>6</v>
      </c>
      <c r="AO16" s="262">
        <v>2</v>
      </c>
      <c r="AP16" s="158">
        <v>2</v>
      </c>
      <c r="AQ16" s="158">
        <v>2</v>
      </c>
      <c r="AR16" s="158">
        <v>2</v>
      </c>
      <c r="AS16" s="343" t="s">
        <v>491</v>
      </c>
      <c r="AT16" s="206"/>
      <c r="AU16" s="205"/>
      <c r="AV16" s="206"/>
      <c r="AW16" s="205"/>
      <c r="AX16" s="206"/>
      <c r="AY16" s="126">
        <f t="shared" si="9"/>
        <v>391</v>
      </c>
      <c r="AZ16" s="127">
        <f t="shared" si="9"/>
        <v>402</v>
      </c>
      <c r="BA16" s="127">
        <f t="shared" si="9"/>
        <v>501</v>
      </c>
      <c r="BB16" s="127">
        <f t="shared" si="9"/>
        <v>292</v>
      </c>
      <c r="BC16" s="125">
        <f>IF(ISNUMBER(W16),W16," - ")</f>
        <v>66</v>
      </c>
      <c r="BD16" s="126">
        <f t="shared" ref="BD16" si="11">IF(ISNUMBER(BA16/AZ16),BA16/AZ16," - ")</f>
        <v>1.2462686567164178</v>
      </c>
      <c r="BE16" s="127">
        <f t="shared" ref="BE16" si="12">IF(ISNUMBER(BB16/BA16),BB16/BA16, " - ")</f>
        <v>0.58283433133732532</v>
      </c>
      <c r="BF16" s="127">
        <f t="shared" ref="BF16" si="13">IF(ISNUMBER(BC16/BA16),BC16/BA16, " - ")</f>
        <v>0.1317365269461078</v>
      </c>
      <c r="BG16" s="199">
        <f t="shared" si="10"/>
        <v>1.5828343313373254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50</v>
      </c>
      <c r="J17" s="186">
        <v>42</v>
      </c>
      <c r="K17" s="186">
        <v>45</v>
      </c>
      <c r="L17" s="186">
        <v>47</v>
      </c>
      <c r="M17" s="186">
        <v>3</v>
      </c>
      <c r="N17" s="186">
        <v>25</v>
      </c>
      <c r="O17" s="186">
        <v>0</v>
      </c>
      <c r="P17" s="186">
        <v>0</v>
      </c>
      <c r="Q17" s="186">
        <v>0</v>
      </c>
      <c r="R17" s="186">
        <v>1</v>
      </c>
      <c r="S17" s="186">
        <v>52</v>
      </c>
      <c r="T17" s="186">
        <v>48</v>
      </c>
      <c r="U17" s="186">
        <v>54</v>
      </c>
      <c r="V17" s="186">
        <v>46</v>
      </c>
      <c r="W17" s="186">
        <v>11</v>
      </c>
      <c r="X17" s="192">
        <v>27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52</v>
      </c>
      <c r="AZ17" s="129">
        <f t="shared" si="14"/>
        <v>48</v>
      </c>
      <c r="BA17" s="129">
        <f t="shared" si="14"/>
        <v>54</v>
      </c>
      <c r="BB17" s="129">
        <f t="shared" si="14"/>
        <v>46</v>
      </c>
      <c r="BC17" s="125">
        <f>IF(ISNUMBER(W17),W17," - ")</f>
        <v>11</v>
      </c>
      <c r="BD17" s="126">
        <f>IF(ISNUMBER(BA17/AZ17),BA17/AZ17," - ")</f>
        <v>1.125</v>
      </c>
      <c r="BE17" s="127">
        <f>IF(ISNUMBER(BB17/BA17),BB17/BA17, " - ")</f>
        <v>0.85185185185185186</v>
      </c>
      <c r="BF17" s="127">
        <f>IF(ISNUMBER(BC17/BA17),BC17/BA17, " - ")</f>
        <v>0.20370370370370369</v>
      </c>
      <c r="BG17" s="199">
        <f>IF(ISNUMBER((AY17+AZ17)/BA17),(AY17+AZ17)/BA17," - ")</f>
        <v>1.8518518518518519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536</v>
      </c>
      <c r="J18" s="187">
        <f t="shared" si="15"/>
        <v>439</v>
      </c>
      <c r="K18" s="187">
        <f t="shared" si="15"/>
        <v>443</v>
      </c>
      <c r="L18" s="187">
        <f t="shared" si="15"/>
        <v>541</v>
      </c>
      <c r="M18" s="187">
        <f t="shared" si="15"/>
        <v>73</v>
      </c>
      <c r="N18" s="187">
        <f t="shared" si="15"/>
        <v>232</v>
      </c>
      <c r="O18" s="187">
        <f t="shared" si="15"/>
        <v>1</v>
      </c>
      <c r="P18" s="187">
        <f t="shared" si="15"/>
        <v>7</v>
      </c>
      <c r="Q18" s="187">
        <f t="shared" si="15"/>
        <v>9</v>
      </c>
      <c r="R18" s="187">
        <f t="shared" si="15"/>
        <v>57</v>
      </c>
      <c r="S18" s="187">
        <f t="shared" si="15"/>
        <v>443</v>
      </c>
      <c r="T18" s="187">
        <f t="shared" si="15"/>
        <v>450</v>
      </c>
      <c r="U18" s="187">
        <f t="shared" si="15"/>
        <v>555</v>
      </c>
      <c r="V18" s="187">
        <f t="shared" si="15"/>
        <v>338</v>
      </c>
      <c r="W18" s="187">
        <f t="shared" si="15"/>
        <v>77</v>
      </c>
      <c r="X18" s="187">
        <f t="shared" si="15"/>
        <v>239</v>
      </c>
      <c r="Y18" s="187">
        <f t="shared" si="15"/>
        <v>0</v>
      </c>
      <c r="Z18" s="187">
        <f t="shared" si="15"/>
        <v>0</v>
      </c>
      <c r="AA18" s="187">
        <f t="shared" si="15"/>
        <v>0</v>
      </c>
      <c r="AB18" s="187">
        <f t="shared" si="15"/>
        <v>0</v>
      </c>
      <c r="AC18" s="187">
        <f t="shared" si="15"/>
        <v>5</v>
      </c>
      <c r="AD18" s="187">
        <f t="shared" si="15"/>
        <v>8</v>
      </c>
      <c r="AE18" s="187">
        <f t="shared" si="15"/>
        <v>10</v>
      </c>
      <c r="AF18" s="187">
        <f t="shared" si="15"/>
        <v>3</v>
      </c>
      <c r="AG18" s="187">
        <f t="shared" si="15"/>
        <v>0</v>
      </c>
      <c r="AH18" s="187">
        <f t="shared" si="15"/>
        <v>0</v>
      </c>
      <c r="AI18" s="187">
        <f t="shared" si="15"/>
        <v>0</v>
      </c>
      <c r="AJ18" s="187">
        <f t="shared" si="15"/>
        <v>0</v>
      </c>
      <c r="AK18" s="187">
        <f t="shared" si="15"/>
        <v>6</v>
      </c>
      <c r="AL18" s="187">
        <f t="shared" si="15"/>
        <v>10</v>
      </c>
      <c r="AM18" s="187">
        <f t="shared" si="15"/>
        <v>10</v>
      </c>
      <c r="AN18" s="187">
        <f t="shared" si="15"/>
        <v>6</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443</v>
      </c>
      <c r="AZ18" s="187">
        <f>SUBTOTAL(9,AZ14:AZ17)</f>
        <v>450</v>
      </c>
      <c r="BA18" s="187">
        <f>SUBTOTAL(9,BA14:BA17)</f>
        <v>555</v>
      </c>
      <c r="BB18" s="187">
        <f>SUBTOTAL(9,BB14:BB17)</f>
        <v>338</v>
      </c>
      <c r="BC18" s="187">
        <f>SUBTOTAL(9,BC14:BC17)</f>
        <v>77</v>
      </c>
      <c r="BD18" s="208">
        <f>IF(ISNUMBER(BA18/AZ18),BA18/AZ18," - ")</f>
        <v>1.2333333333333334</v>
      </c>
      <c r="BE18" s="209">
        <f>IF(ISNUMBER(BB18/BA18),BB18/BA18, " - ")</f>
        <v>0.60900900900900901</v>
      </c>
      <c r="BF18" s="209">
        <f>IF(ISNUMBER(BC18/BA18),BC18/BA18, " - ")</f>
        <v>0.13873873873873874</v>
      </c>
      <c r="BG18" s="210">
        <f>IF(ISNUMBER((AY18+AZ18)/BA18),(AY18+AZ18)/BA18," - ")</f>
        <v>1.609009009009009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1531</v>
      </c>
      <c r="J19" s="134">
        <f t="shared" si="18"/>
        <v>982</v>
      </c>
      <c r="K19" s="134">
        <f t="shared" si="18"/>
        <v>898</v>
      </c>
      <c r="L19" s="134">
        <f t="shared" si="18"/>
        <v>1624</v>
      </c>
      <c r="M19" s="134">
        <f t="shared" si="18"/>
        <v>203</v>
      </c>
      <c r="N19" s="134">
        <f t="shared" si="18"/>
        <v>385</v>
      </c>
      <c r="O19" s="134">
        <f t="shared" si="18"/>
        <v>231</v>
      </c>
      <c r="P19" s="134">
        <f t="shared" si="18"/>
        <v>136</v>
      </c>
      <c r="Q19" s="134">
        <f t="shared" si="18"/>
        <v>100</v>
      </c>
      <c r="R19" s="134">
        <f t="shared" si="18"/>
        <v>1451</v>
      </c>
      <c r="S19" s="134">
        <f t="shared" si="18"/>
        <v>1247</v>
      </c>
      <c r="T19" s="134">
        <f t="shared" si="18"/>
        <v>995</v>
      </c>
      <c r="U19" s="134">
        <f t="shared" si="18"/>
        <v>1022</v>
      </c>
      <c r="V19" s="134">
        <f t="shared" si="18"/>
        <v>1220</v>
      </c>
      <c r="W19" s="134">
        <f t="shared" si="18"/>
        <v>189</v>
      </c>
      <c r="X19" s="134">
        <f t="shared" si="18"/>
        <v>401</v>
      </c>
      <c r="Y19" s="134">
        <f t="shared" si="18"/>
        <v>2</v>
      </c>
      <c r="Z19" s="134">
        <f t="shared" si="18"/>
        <v>51</v>
      </c>
      <c r="AA19" s="134">
        <f t="shared" si="18"/>
        <v>43</v>
      </c>
      <c r="AB19" s="134">
        <f t="shared" si="18"/>
        <v>10</v>
      </c>
      <c r="AC19" s="134">
        <f t="shared" si="18"/>
        <v>5</v>
      </c>
      <c r="AD19" s="134">
        <f t="shared" si="18"/>
        <v>8</v>
      </c>
      <c r="AE19" s="134">
        <f t="shared" si="18"/>
        <v>10</v>
      </c>
      <c r="AF19" s="134">
        <f t="shared" si="18"/>
        <v>3</v>
      </c>
      <c r="AG19" s="134">
        <f t="shared" si="18"/>
        <v>26</v>
      </c>
      <c r="AH19" s="134">
        <f t="shared" si="18"/>
        <v>40</v>
      </c>
      <c r="AI19" s="134">
        <f t="shared" si="18"/>
        <v>58</v>
      </c>
      <c r="AJ19" s="134">
        <f t="shared" si="18"/>
        <v>8</v>
      </c>
      <c r="AK19" s="134">
        <f t="shared" si="18"/>
        <v>6</v>
      </c>
      <c r="AL19" s="134">
        <f t="shared" si="18"/>
        <v>10</v>
      </c>
      <c r="AM19" s="134">
        <f t="shared" si="18"/>
        <v>10</v>
      </c>
      <c r="AN19" s="213">
        <f t="shared" si="18"/>
        <v>6</v>
      </c>
      <c r="AO19" s="214">
        <v>3</v>
      </c>
      <c r="AP19" s="214">
        <v>2</v>
      </c>
      <c r="AQ19" s="214">
        <v>2</v>
      </c>
      <c r="AR19" s="214">
        <v>2</v>
      </c>
      <c r="AS19" s="156">
        <f t="shared" si="18"/>
        <v>0</v>
      </c>
      <c r="AT19" s="156">
        <f t="shared" si="18"/>
        <v>0</v>
      </c>
      <c r="AU19" s="214"/>
      <c r="AV19" s="215"/>
      <c r="AW19" s="214"/>
      <c r="AX19" s="215"/>
      <c r="AY19" s="133">
        <f>SUBTOTAL(9,AY9:AY18)</f>
        <v>1273</v>
      </c>
      <c r="AZ19" s="134">
        <f>SUBTOTAL(9,AZ9:AZ18)</f>
        <v>1035</v>
      </c>
      <c r="BA19" s="134">
        <f>SUBTOTAL(9,BA9:BA18)</f>
        <v>1080</v>
      </c>
      <c r="BB19" s="134">
        <f>SUBTOTAL(9,BB9:BB18)</f>
        <v>1228</v>
      </c>
      <c r="BC19" s="135">
        <f>SUBTOTAL(9,BC9:BC18)</f>
        <v>238</v>
      </c>
      <c r="BD19" s="216">
        <f>IF(ISNUMBER(BA19/AZ19),BA19/AZ19," - ")</f>
        <v>1.0434782608695652</v>
      </c>
      <c r="BE19" s="213">
        <f>IF(ISNUMBER(BB19/BA19),BB19/BA19, " - ")</f>
        <v>1.1370370370370371</v>
      </c>
      <c r="BF19" s="213">
        <f>IF(ISNUMBER(BC19/BA19),BC19/BA19, " - ")</f>
        <v>0.22037037037037038</v>
      </c>
      <c r="BG19" s="135">
        <f>IF(ISNUMBER((AY19+AZ19)/BA19),(AY19+AZ19)/BA19," - ")</f>
        <v>2.1370370370370368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nRX1iSYKRbyukO+Wrn12e9Na4qxWXeO/vYvUUAr3ODv77lMZVCVUG8Gsq3yBwv7P5h6uTtjXSnaSyM1pWykuw==" saltValue="Sqai6VglXcBy+aCA0EEb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cxkeCVJ/4AeTlWfeeuVduJDIv/pSigHJ4FbRddTvohk/0RsAIKLTkblBspWzSuXXJAMlsm1zTNExWtGLi7Hyw==" saltValue="RWXdlJRL9xwT3MMj0LKg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NAVARRA</v>
      </c>
    </row>
    <row r="2" spans="1:74" ht="16.5" customHeight="1">
      <c r="C2" s="491" t="str">
        <f>Criterios!A10 &amp;"  "&amp;Criterios!B10 &amp; "  " &amp; IF(NOT(ISBLANK(Criterios!A11)),Criterios!A11 &amp;"  "&amp;Criterios!B11,"")</f>
        <v>Provincias  NAVARRA  Resumenes por Partidos Judiciales  ESTELLA-LIZARRA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35</v>
      </c>
      <c r="G10" s="336">
        <f>IF(ISNUMBER(Datos!I10),Datos!I10," - ")</f>
        <v>35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3</v>
      </c>
      <c r="AD10" s="337"/>
      <c r="AE10" s="487"/>
      <c r="AF10" s="335">
        <f>IF(ISNUMBER(Datos!L10),Datos!L10,"-")</f>
        <v>36</v>
      </c>
      <c r="AG10" s="337"/>
      <c r="AH10" s="337"/>
      <c r="AI10" s="337"/>
      <c r="AJ10" s="337"/>
      <c r="AK10" s="337"/>
      <c r="AL10" s="482"/>
      <c r="AM10" s="338">
        <f>IF(ISNUMBER(Datos!R10),Datos!R10," - ")</f>
        <v>12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2</v>
      </c>
      <c r="BE10" s="232" t="str">
        <f>IF(ISNUMBER(Datos!BW10),Datos!BW10," - ")</f>
        <v xml:space="preserve"> - </v>
      </c>
      <c r="BF10" s="231" t="str">
        <f>IF(ISNUMBER(Datos!BX10),Datos!BX10," - ")</f>
        <v xml:space="preserve"> - </v>
      </c>
      <c r="BG10" s="246">
        <f>IF(ISNUMBER(Datos!K10/Datos!J10),Datos!K10/Datos!J10," - ")</f>
        <v>0.83333333333333337</v>
      </c>
      <c r="BH10" s="263">
        <f>IF(ISNUMBER(((Datos!L10/Datos!K10)*11)/factor_trimestre),((Datos!L10/Datos!K10)*11)/factor_trimestre," - ")</f>
        <v>21.6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51</v>
      </c>
      <c r="O12" s="337"/>
      <c r="P12" s="337"/>
      <c r="Q12" s="229">
        <f>IF(ISNUMBER(Datos!P12),Datos!P12,0)</f>
        <v>129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v>
      </c>
      <c r="AI12" s="337" t="str">
        <f>IF(ISNUMBER(Datos!CD12),Datos!CD12,"-")</f>
        <v>-</v>
      </c>
      <c r="AJ12" s="337" t="str">
        <f>IF(ISNUMBER(Datos!EN12),Datos!EN12," - ")</f>
        <v xml:space="preserve"> - </v>
      </c>
      <c r="AK12" s="337"/>
      <c r="AL12" s="482"/>
      <c r="AM12" s="338">
        <f>IF(ISNUMBER(Datos!R12),Datos!R12," - ")</f>
        <v>1382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129</v>
      </c>
      <c r="BD12" s="232">
        <f>IF(ISNUMBER(Datos!N12),Datos!N12," - ")</f>
        <v>151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0.83843537414965985</v>
      </c>
      <c r="BH12" s="263">
        <f>IF(ISNUMBER(((IF(J_V="SI",Datos!L12/Datos!K12,(Datos!L12+Datos!AB12)/(Datos!K12+Datos!AA12)))*11)/factor_trimestre),((IF(J_V="SI",Datos!L12/Datos!K12,(Datos!L12+Datos!AB12)/(Datos!K12+Datos!AA12)))*11)/factor_trimestre," - ")</f>
        <v>6.4320486815415823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3.0574198359433258E-2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35</v>
      </c>
      <c r="G13" s="901">
        <f t="shared" si="0"/>
        <v>35</v>
      </c>
      <c r="H13" s="902">
        <f t="shared" si="0"/>
        <v>0</v>
      </c>
      <c r="I13" s="901">
        <f t="shared" si="0"/>
        <v>0</v>
      </c>
      <c r="J13" s="870">
        <f t="shared" si="0"/>
        <v>0</v>
      </c>
      <c r="K13" s="870">
        <f t="shared" si="0"/>
        <v>0</v>
      </c>
      <c r="L13" s="902">
        <f t="shared" si="0"/>
        <v>0</v>
      </c>
      <c r="M13" s="902">
        <f t="shared" si="0"/>
        <v>0</v>
      </c>
      <c r="N13" s="902">
        <f t="shared" si="0"/>
        <v>51</v>
      </c>
      <c r="O13" s="903">
        <f t="shared" si="0"/>
        <v>0</v>
      </c>
      <c r="P13" s="903">
        <f t="shared" si="0"/>
        <v>0</v>
      </c>
      <c r="Q13" s="902">
        <f t="shared" si="0"/>
        <v>129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91</v>
      </c>
      <c r="AD13" s="902">
        <f t="shared" si="1"/>
        <v>0</v>
      </c>
      <c r="AE13" s="902">
        <f t="shared" si="1"/>
        <v>0</v>
      </c>
      <c r="AF13" s="902">
        <f t="shared" si="1"/>
        <v>36</v>
      </c>
      <c r="AG13" s="902">
        <f t="shared" si="1"/>
        <v>0</v>
      </c>
      <c r="AH13" s="902">
        <f t="shared" si="1"/>
        <v>10</v>
      </c>
      <c r="AI13" s="902">
        <f t="shared" si="1"/>
        <v>0</v>
      </c>
      <c r="AJ13" s="902">
        <f t="shared" si="1"/>
        <v>0</v>
      </c>
      <c r="AK13" s="902">
        <f t="shared" si="1"/>
        <v>0</v>
      </c>
      <c r="AL13" s="902">
        <f t="shared" si="1"/>
        <v>0</v>
      </c>
      <c r="AM13" s="902">
        <f t="shared" si="1"/>
        <v>1394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130</v>
      </c>
      <c r="BD13" s="902">
        <f t="shared" si="1"/>
        <v>153</v>
      </c>
      <c r="BE13" s="902">
        <f t="shared" si="1"/>
        <v>0</v>
      </c>
      <c r="BF13" s="902">
        <f t="shared" si="1"/>
        <v>0</v>
      </c>
      <c r="BG13" s="902">
        <f>IF(ISNUMBER(Datos!K13/Datos!J13),Datos!K13/Datos!J13," - ")</f>
        <v>0.83793738489871084</v>
      </c>
      <c r="BH13" s="906">
        <f>IF(ISNUMBER(((Datos!L13/Datos!K13)*11)/factor_trimestre),((Datos!L13/Datos!K13)*11)/factor_trimestre," - ")</f>
        <v>7.140659340659341</v>
      </c>
      <c r="BI13" s="902">
        <f>IF(ISNUMBER('Resol  Asuntos'!D13/NºAsuntos!G13),'Resol  Asuntos'!D13/NºAsuntos!G13," - ")</f>
        <v>0.26104417670682734</v>
      </c>
      <c r="BJ13" s="902" t="str">
        <f>IF(ISNUMBER(Datos!CI13/Datos!CJ13),Datos!CI13/Datos!CJ13," - ")</f>
        <v xml:space="preserve"> - </v>
      </c>
      <c r="BK13" s="902">
        <f>SUBTOTAL(9,BK8:BK12)</f>
        <v>0</v>
      </c>
      <c r="BL13" s="902">
        <f>IF(ISNUMBER((I13-AB13+L13)/(F13)),(I13-AB13+L13)/(F13)," - ")</f>
        <v>-0.14285714285714285</v>
      </c>
      <c r="BM13" s="907">
        <f>SUBTOTAL(9,BM9:BM12)</f>
        <v>-0.16942580164056675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495</v>
      </c>
      <c r="G16" s="601">
        <f>IF(ISNUMBER(IF(D_I="SI",Datos!I16,Datos!I16+Datos!AC16)),IF(D_I="SI",Datos!I16,Datos!I16+Datos!AC16)," - ")</f>
        <v>486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398</v>
      </c>
      <c r="AC16" s="229">
        <f>IF(ISNUMBER(Datos!Q16),Datos!Q16," - ")</f>
        <v>9</v>
      </c>
      <c r="AD16" s="337"/>
      <c r="AE16" s="487"/>
      <c r="AF16" s="599">
        <f>IF(ISNUMBER(IF(D_I="SI",Datos!L16,Datos!L16+Datos!AF16)),IF(D_I="SI",Datos!L16,Datos!L16+Datos!AF16)," - ")</f>
        <v>494</v>
      </c>
      <c r="AG16" s="337"/>
      <c r="AH16" s="337"/>
      <c r="AI16" s="337"/>
      <c r="AJ16" s="337"/>
      <c r="AK16" s="337"/>
      <c r="AL16" s="482"/>
      <c r="AM16" s="338">
        <f>IF(ISNUMBER(Datos!R16),Datos!R16," - ")</f>
        <v>56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70</v>
      </c>
      <c r="BD16" s="232">
        <f>IF(ISNUMBER(Datos!N16),Datos!N16," - ")</f>
        <v>207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1.0025188916876575</v>
      </c>
      <c r="BH16" s="263">
        <f>IF(ISNUMBER(((IF(D_I="SI",Datos!L16/Datos!K16,(Datos!L16+Datos!AF16)/(Datos!K16+Datos!AE16)))*11)/factor_trimestre),((IF(D_I="SI",Datos!L16/Datos!K16,(Datos!L16+Datos!AF16)/(Datos!K16+Datos!AE16)))*11)/factor_trimestre," - ")</f>
        <v>3.7236180904522613</v>
      </c>
      <c r="BI16" s="246">
        <f>IF(ISNUMBER('Resol  Asuntos'!D16/NºAsuntos!G16),'Resol  Asuntos'!D16/NºAsuntos!G16," - ")</f>
        <v>0.17587939698492464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45</v>
      </c>
      <c r="AC17" s="229">
        <f>IF(ISNUMBER(Datos!Q17),Datos!Q17," - ")</f>
        <v>0</v>
      </c>
      <c r="AD17" s="337"/>
      <c r="AE17" s="487"/>
      <c r="AF17" s="335">
        <f>IF(ISNUMBER(Datos!L17),Datos!L17,"-")</f>
        <v>47</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25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1.0714285714285714</v>
      </c>
      <c r="BH17" s="263">
        <f>IF(ISNUMBER(((IF(D_I="SI",Datos!L17/Datos!K17,(Datos!L17+Datos!AF17)/(Datos!K17+Datos!AE17)))*11)/factor_trimestre),((IF(D_I="SI",Datos!L17/Datos!K17,(Datos!L17+Datos!AF17)/(Datos!K17+Datos!AE17)))*11)/factor_trimestre," - ")</f>
        <v>3.1333333333333333</v>
      </c>
      <c r="BI17" s="246">
        <f>IF(ISNUMBER('Resol  Asuntos'!D17/NºAsuntos!G17),'Resol  Asuntos'!D17/NºAsuntos!G17," - ")</f>
        <v>6.6666666666666666E-2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495</v>
      </c>
      <c r="G18" s="901">
        <f>SUBTOTAL(9,G15:G17)</f>
        <v>536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443</v>
      </c>
      <c r="AC18" s="902">
        <f t="shared" si="4"/>
        <v>9</v>
      </c>
      <c r="AD18" s="902">
        <f t="shared" si="4"/>
        <v>0</v>
      </c>
      <c r="AE18" s="902">
        <f t="shared" si="4"/>
        <v>0</v>
      </c>
      <c r="AF18" s="902">
        <f t="shared" si="4"/>
        <v>541</v>
      </c>
      <c r="AG18" s="902">
        <f t="shared" si="4"/>
        <v>0</v>
      </c>
      <c r="AH18" s="902">
        <f t="shared" si="4"/>
        <v>0</v>
      </c>
      <c r="AI18" s="902">
        <f t="shared" si="4"/>
        <v>0</v>
      </c>
      <c r="AJ18" s="902">
        <f t="shared" si="4"/>
        <v>0</v>
      </c>
      <c r="AK18" s="902">
        <f t="shared" si="4"/>
        <v>0</v>
      </c>
      <c r="AL18" s="902">
        <f t="shared" si="4"/>
        <v>0</v>
      </c>
      <c r="AM18" s="902">
        <f t="shared" si="4"/>
        <v>57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73</v>
      </c>
      <c r="BD18" s="902">
        <f t="shared" si="4"/>
        <v>232</v>
      </c>
      <c r="BE18" s="902">
        <f t="shared" si="4"/>
        <v>0</v>
      </c>
      <c r="BF18" s="902">
        <f t="shared" si="4"/>
        <v>0</v>
      </c>
      <c r="BG18" s="902">
        <f>IF(ISNUMBER(Datos!K18/Datos!J18),Datos!K18/Datos!J18," - ")</f>
        <v>1.0091116173120729</v>
      </c>
      <c r="BH18" s="906">
        <f>IF(ISNUMBER(((Datos!L18/Datos!K18)*11)/factor_trimestre),((Datos!L18/Datos!K18)*11)/factor_trimestre," - ")</f>
        <v>3.6636568848758468</v>
      </c>
      <c r="BI18" s="902">
        <f>SUBTOTAL(9,BI15:BI17)</f>
        <v>0.24254606365159131</v>
      </c>
      <c r="BJ18" s="902">
        <f>SUBTOTAL(9,BJ15:BJ17)</f>
        <v>0</v>
      </c>
      <c r="BK18" s="902">
        <f>SUBTOTAL(9,BK15:BK17)</f>
        <v>0</v>
      </c>
      <c r="BL18" s="902">
        <f>IF(ISNUMBER((I18-AB18+L18)/(F18)),(I18-AB18+L18)/(F18)," - ")</f>
        <v>-0.89494949494949494</v>
      </c>
      <c r="BM18" s="908">
        <f>IF(ISNUMBER((Datos!P18-Datos!Q18)/(Datos!R18-Datos!P18+Datos!Q18)),(Datos!P18-Datos!Q18)/(Datos!R18-Datos!P18+Datos!Q18)," - ")</f>
        <v>-3.3898305084745763E-2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530</v>
      </c>
      <c r="G19" s="823">
        <f t="shared" si="6"/>
        <v>571</v>
      </c>
      <c r="H19" s="825">
        <f t="shared" si="6"/>
        <v>0</v>
      </c>
      <c r="I19" s="823">
        <f t="shared" si="6"/>
        <v>0</v>
      </c>
      <c r="J19" s="825">
        <f t="shared" si="6"/>
        <v>0</v>
      </c>
      <c r="K19" s="825">
        <f t="shared" si="6"/>
        <v>0</v>
      </c>
      <c r="L19" s="884">
        <f t="shared" si="6"/>
        <v>0</v>
      </c>
      <c r="M19" s="884">
        <f t="shared" si="6"/>
        <v>0</v>
      </c>
      <c r="N19" s="884">
        <f t="shared" si="6"/>
        <v>51</v>
      </c>
      <c r="O19" s="884">
        <f t="shared" si="6"/>
        <v>0</v>
      </c>
      <c r="P19" s="884">
        <f t="shared" si="6"/>
        <v>0</v>
      </c>
      <c r="Q19" s="825">
        <f t="shared" si="6"/>
        <v>136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448</v>
      </c>
      <c r="AC19" s="824">
        <f t="shared" si="7"/>
        <v>100</v>
      </c>
      <c r="AD19" s="824">
        <f t="shared" si="7"/>
        <v>0</v>
      </c>
      <c r="AE19" s="824">
        <f t="shared" si="7"/>
        <v>0</v>
      </c>
      <c r="AF19" s="831">
        <f t="shared" si="7"/>
        <v>577</v>
      </c>
      <c r="AG19" s="831">
        <f t="shared" si="7"/>
        <v>0</v>
      </c>
      <c r="AH19" s="831">
        <f t="shared" si="7"/>
        <v>10</v>
      </c>
      <c r="AI19" s="831">
        <f t="shared" si="7"/>
        <v>0</v>
      </c>
      <c r="AJ19" s="824">
        <f t="shared" si="7"/>
        <v>0</v>
      </c>
      <c r="AK19" s="831">
        <f t="shared" si="7"/>
        <v>0</v>
      </c>
      <c r="AL19" s="831">
        <f t="shared" si="7"/>
        <v>0</v>
      </c>
      <c r="AM19" s="831">
        <f t="shared" si="7"/>
        <v>1451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203</v>
      </c>
      <c r="BD19" s="823">
        <f t="shared" si="7"/>
        <v>385</v>
      </c>
      <c r="BE19" s="823">
        <f t="shared" si="7"/>
        <v>0</v>
      </c>
      <c r="BF19" s="833">
        <f t="shared" si="7"/>
        <v>0</v>
      </c>
      <c r="BG19" s="918">
        <f>IF(ISNUMBER(Datos!K19/Datos!J19),Datos!K19/Datos!J19," - ")</f>
        <v>0.91446028513238287</v>
      </c>
      <c r="BH19" s="918">
        <f>IF(ISNUMBER(((Datos!L19/Datos!K19)*11)/factor_trimestre),((Datos!L19/Datos!K19)*11)/factor_trimestre," - ")</f>
        <v>5.4253897550111363</v>
      </c>
      <c r="BI19" s="816">
        <f>IF(ISNUMBER(Datos!J19/Datos!I19),Datos!J19/Datos!I19," - ")</f>
        <v>0.64141084258654479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-0.84528301886792456</v>
      </c>
      <c r="BM19" s="892">
        <f>IF(ISNUMBER((Datos!P19-Datos!Q19+R19)/(Datos!R19-Datos!P19+Datos!Q19-R19)),(Datos!P19-Datos!Q19+R19)/(Datos!R19-Datos!P19+Datos!Q19-R19)," - ")</f>
        <v>2.5441696113074206E-2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228.4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265.58112382722783</v>
      </c>
      <c r="G21" s="555">
        <f>IF(ISNUMBER(STDEV(G8:G18)),STDEV(G8:G18),"-")</f>
        <v>258.65478924620749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221.45247797213739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57.109252023351402</v>
      </c>
      <c r="BD21" s="554"/>
      <c r="BE21" s="554">
        <f>IF(ISNUMBER(STDEV(BE8:BE18)),STDEV(BE8:BE18),"-")</f>
        <v>0</v>
      </c>
      <c r="BF21" s="559">
        <f>IF(ISNUMBER(STDEV(BF8:BF18)),STDEV(BF8:BF18),"-")</f>
        <v>0</v>
      </c>
      <c r="BG21" s="778">
        <f>IF(ISNUMBER(STDEV(BG8:BG18)),STDEV(BG8:BG18),"-")</f>
        <v>0.10742119943446742</v>
      </c>
      <c r="BH21" s="779">
        <f>IF(ISNUMBER(STDEV(BH8:BH18)),STDEV(BH8:BH18),"-")</f>
        <v>7.043378418634676</v>
      </c>
      <c r="BI21" s="252">
        <f>IF(ISNUMBER(STDEV(BI8:BI18)),STDEV(BI8:BI18),"-")</f>
        <v>8.7884044576215556E-2</v>
      </c>
      <c r="BJ21" s="233" t="str">
        <f>IF(ISNUMBER(BL21/BM21),BL21/BM21," - ")</f>
        <v xml:space="preserve"> - </v>
      </c>
      <c r="BK21" s="578"/>
      <c r="BL21" s="562">
        <f>IF(ISNUMBER(STDEV(BL8:BL18)),STDEV(BL8:BL18),"-")</f>
        <v>0.53180960224304286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OCCTNq+Wvuw4SWwJhSsHVd0W/T+0zXOApD3jW3fWSX0ngxdABdX/a++34hyhq81mqPwX4IQhr1eN+AURNlDXXA==" saltValue="Ua7cqcdxbyfhvzugCICq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NAVARRA</v>
      </c>
    </row>
    <row r="2" spans="1:73" ht="16.5" customHeight="1">
      <c r="C2" s="531" t="str">
        <f>Criterios!A10 &amp;"  "&amp;Criterios!B10 &amp; "  " &amp; IF(NOT(ISBLANK(Criterios!A11)),Criterios!A11 &amp;"  "&amp;Criterios!B11,"")</f>
        <v>Provincias  NAVARRA  Resumenes por Partidos Judiciales  ESTELLA-LIZARRA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35</v>
      </c>
      <c r="G10" s="228">
        <f>IF(ISNUMBER(Datos!I10),Datos!I10," - ")</f>
        <v>35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3</v>
      </c>
      <c r="AA10" s="335">
        <f>IF(ISNUMBER(Datos!L10),Datos!L10,"-")</f>
        <v>36</v>
      </c>
      <c r="AB10" s="337"/>
      <c r="AC10" s="337"/>
      <c r="AD10" s="487"/>
      <c r="AE10" s="487">
        <f>IF(ISNUMBER(Datos!R10),Datos!R10," - ")</f>
        <v>12</v>
      </c>
      <c r="AF10" s="232" t="str">
        <f>IF(ISNUMBER(Datos!BV10),Datos!BV10," - ")</f>
        <v xml:space="preserve"> - </v>
      </c>
      <c r="AG10" s="228" t="str">
        <f>IF(ISNUMBER(Datos!DV10),Datos!DV10," - ")</f>
        <v xml:space="preserve"> - </v>
      </c>
      <c r="AH10" s="301"/>
      <c r="AI10" s="230"/>
      <c r="AJ10" s="228">
        <f>IF(ISNUMBER(Datos!M10),Datos!M10," - ")</f>
        <v>1</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21.6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88</v>
      </c>
      <c r="AA12" s="335" t="str">
        <f>IF(ISNUMBER(IF(J_V="SI",Datos!L12,Datos!L12+Datos!AB12)-IF(Monitorios="SI",Datos!CD12,0)),
                          IF(J_V="SI",Datos!L12,Datos!L12+Datos!AB12)-IF(Monitorios="SI",Datos!CD12,0),
                          " - ")</f>
        <v xml:space="preserve"> - </v>
      </c>
      <c r="AB12" s="337"/>
      <c r="AC12" s="337"/>
      <c r="AD12" s="487"/>
      <c r="AE12" s="487">
        <f>IF(ISNUMBER(Datos!R12),Datos!R12," - ")</f>
        <v>1382</v>
      </c>
      <c r="AF12" s="232" t="str">
        <f>IF(ISNUMBER(Datos!BV12),Datos!BV12," - ")</f>
        <v xml:space="preserve"> - </v>
      </c>
      <c r="AG12" s="228" t="str">
        <f>IF(ISNUMBER(Datos!DV12),Datos!DV12," - ")</f>
        <v xml:space="preserve"> - </v>
      </c>
      <c r="AH12" s="301"/>
      <c r="AI12" s="230"/>
      <c r="AJ12" s="228">
        <f>IF(ISNUMBER(Datos!M12),Datos!M12," - ")</f>
        <v>129</v>
      </c>
      <c r="AK12" s="232">
        <f>IF(ISNUMBER(Datos!N12),Datos!N12," - ")</f>
        <v>151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6.4320486815415823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3.0574198359433258E-2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35</v>
      </c>
      <c r="G13" s="901">
        <f>SUBTOTAL(9,G8:G12)</f>
        <v>35</v>
      </c>
      <c r="H13" s="911"/>
      <c r="I13" s="901">
        <f t="shared" ref="I13:N13" si="0">SUBTOTAL(9,I8:I12)</f>
        <v>0</v>
      </c>
      <c r="J13" s="870">
        <f t="shared" si="0"/>
        <v>0</v>
      </c>
      <c r="K13" s="911">
        <f t="shared" si="0"/>
        <v>0</v>
      </c>
      <c r="L13" s="911">
        <f t="shared" si="0"/>
        <v>0</v>
      </c>
      <c r="M13" s="911">
        <f t="shared" si="0"/>
        <v>0</v>
      </c>
      <c r="N13" s="911">
        <f t="shared" si="0"/>
        <v>129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91</v>
      </c>
      <c r="AA13" s="903">
        <f t="shared" si="2"/>
        <v>36</v>
      </c>
      <c r="AB13" s="903">
        <f t="shared" si="2"/>
        <v>0</v>
      </c>
      <c r="AC13" s="903">
        <f t="shared" si="2"/>
        <v>0</v>
      </c>
      <c r="AD13" s="903">
        <f t="shared" si="2"/>
        <v>0</v>
      </c>
      <c r="AE13" s="903">
        <f t="shared" si="2"/>
        <v>1394</v>
      </c>
      <c r="AF13" s="911">
        <f t="shared" si="2"/>
        <v>0</v>
      </c>
      <c r="AG13" s="911">
        <f t="shared" si="2"/>
        <v>0</v>
      </c>
      <c r="AH13" s="911">
        <f t="shared" si="2"/>
        <v>0</v>
      </c>
      <c r="AI13" s="911">
        <f t="shared" si="2"/>
        <v>0</v>
      </c>
      <c r="AJ13" s="911">
        <f t="shared" si="2"/>
        <v>130</v>
      </c>
      <c r="AK13" s="911">
        <f t="shared" si="2"/>
        <v>153</v>
      </c>
      <c r="AL13" s="911">
        <f t="shared" si="2"/>
        <v>0</v>
      </c>
      <c r="AM13" s="911">
        <f t="shared" si="2"/>
        <v>0</v>
      </c>
      <c r="AN13" s="911">
        <f t="shared" si="2"/>
        <v>0</v>
      </c>
      <c r="AO13" s="907">
        <f>IF(ISNUMBER(((NºAsuntos!I13/NºAsuntos!G13)*11)/factor_trimestre),((NºAsuntos!I13/NºAsuntos!G13)*11)/factor_trimestre," - ")</f>
        <v>6.5843373493975905</v>
      </c>
      <c r="AP13" s="913" t="str">
        <f>IF(ISNUMBER(Datos!CI13/Datos!CJ13),Datos!CI13/Datos!CJ13," - ")</f>
        <v xml:space="preserve"> - </v>
      </c>
      <c r="AQ13" s="931">
        <f t="shared" ref="AQ13:AV13" si="3">SUBTOTAL(9,AQ9:AQ12)</f>
        <v>0</v>
      </c>
      <c r="AR13" s="931">
        <f t="shared" si="3"/>
        <v>-0.16942580164056675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495</v>
      </c>
      <c r="G16" s="228">
        <f>IF(ISNUMBER(IF(D_I="SI",Datos!I16,Datos!I16+Datos!AC16)),IF(D_I="SI",Datos!I16,Datos!I16+Datos!AC16)," - ")</f>
        <v>486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398</v>
      </c>
      <c r="Z16" s="622">
        <f>IF(ISNUMBER(Datos!Q16),Datos!Q16," - ")</f>
        <v>9</v>
      </c>
      <c r="AA16" s="335">
        <f>IF(ISNUMBER(IF(D_I="SI",Datos!L16,Datos!L16+Datos!AF16)),IF(D_I="SI",Datos!L16,Datos!L16+Datos!AF16)," - ")</f>
        <v>494</v>
      </c>
      <c r="AB16" s="337"/>
      <c r="AC16" s="337"/>
      <c r="AD16" s="487"/>
      <c r="AE16" s="487">
        <f>IF(ISNUMBER(Datos!R16),Datos!R16," - ")</f>
        <v>56</v>
      </c>
      <c r="AF16" s="232" t="str">
        <f>IF(ISNUMBER(Datos!BV16),Datos!BV16," - ")</f>
        <v xml:space="preserve"> - </v>
      </c>
      <c r="AG16" s="228"/>
      <c r="AH16" s="301"/>
      <c r="AI16" s="230"/>
      <c r="AJ16" s="228">
        <f>IF(ISNUMBER(Datos!M16),Datos!M16," - ")</f>
        <v>70</v>
      </c>
      <c r="AK16" s="232">
        <f>IF(ISNUMBER(Datos!N16),Datos!N16," - ")</f>
        <v>207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3.7236180904522613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45</v>
      </c>
      <c r="Z17" s="622">
        <f>IF(ISNUMBER(Datos!Q17),Datos!Q17," - ")</f>
        <v>0</v>
      </c>
      <c r="AA17" s="335">
        <f>IF(ISNUMBER(Datos!L17),Datos!L17,"-")</f>
        <v>47</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3</v>
      </c>
      <c r="AK17" s="232">
        <f>IF(ISNUMBER(Datos!N17),Datos!N17," - ")</f>
        <v>25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3.1333333333333333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495</v>
      </c>
      <c r="G18" s="901">
        <f>SUBTOTAL(9,G15:G17)</f>
        <v>536</v>
      </c>
      <c r="H18" s="935">
        <f>SUBTOTAL(9,H15:H17)</f>
        <v>0</v>
      </c>
      <c r="I18" s="914">
        <f>SUBTOTAL(9,I15:I17)</f>
        <v>0</v>
      </c>
      <c r="J18" s="870">
        <f>SUBTOTAL(9,J14:J17)</f>
        <v>0</v>
      </c>
      <c r="K18" s="935">
        <f t="shared" ref="K18:S18" si="4">SUBTOTAL(9,K15:K17)</f>
        <v>0</v>
      </c>
      <c r="L18" s="935">
        <f t="shared" si="4"/>
        <v>0</v>
      </c>
      <c r="M18" s="935">
        <f t="shared" si="4"/>
        <v>0</v>
      </c>
      <c r="N18" s="935">
        <f t="shared" si="4"/>
        <v>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443</v>
      </c>
      <c r="Z18" s="935">
        <f t="shared" si="5"/>
        <v>9</v>
      </c>
      <c r="AA18" s="935">
        <f t="shared" si="5"/>
        <v>541</v>
      </c>
      <c r="AB18" s="935">
        <f t="shared" si="5"/>
        <v>0</v>
      </c>
      <c r="AC18" s="935">
        <f t="shared" si="5"/>
        <v>0</v>
      </c>
      <c r="AD18" s="935">
        <f t="shared" si="5"/>
        <v>0</v>
      </c>
      <c r="AE18" s="935">
        <f t="shared" si="5"/>
        <v>57</v>
      </c>
      <c r="AF18" s="935">
        <f t="shared" si="5"/>
        <v>0</v>
      </c>
      <c r="AG18" s="935">
        <f t="shared" si="5"/>
        <v>0</v>
      </c>
      <c r="AH18" s="935">
        <f t="shared" si="5"/>
        <v>0</v>
      </c>
      <c r="AI18" s="935">
        <f t="shared" si="5"/>
        <v>0</v>
      </c>
      <c r="AJ18" s="935">
        <f t="shared" si="5"/>
        <v>73</v>
      </c>
      <c r="AK18" s="935">
        <f t="shared" si="5"/>
        <v>232</v>
      </c>
      <c r="AL18" s="935">
        <f t="shared" si="5"/>
        <v>0</v>
      </c>
      <c r="AM18" s="935">
        <f t="shared" si="5"/>
        <v>0</v>
      </c>
      <c r="AN18" s="935">
        <f t="shared" si="5"/>
        <v>0</v>
      </c>
      <c r="AO18" s="937">
        <f>IF(ISNUMBER(((NºAsuntos!I18/NºAsuntos!G18)*11)/factor_trimestre),((NºAsuntos!I18/NºAsuntos!G18)*11)/factor_trimestre," - ")</f>
        <v>3.6636568848758468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530</v>
      </c>
      <c r="G19" s="823">
        <f t="shared" si="7"/>
        <v>571</v>
      </c>
      <c r="H19" s="824">
        <f t="shared" si="7"/>
        <v>0</v>
      </c>
      <c r="I19" s="823">
        <f t="shared" si="7"/>
        <v>0</v>
      </c>
      <c r="J19" s="825">
        <f t="shared" si="7"/>
        <v>0</v>
      </c>
      <c r="K19" s="823">
        <f t="shared" si="7"/>
        <v>0</v>
      </c>
      <c r="L19" s="826">
        <f t="shared" si="7"/>
        <v>0</v>
      </c>
      <c r="M19" s="823">
        <f t="shared" si="7"/>
        <v>0</v>
      </c>
      <c r="N19" s="824">
        <f t="shared" si="7"/>
        <v>136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448</v>
      </c>
      <c r="Z19" s="830">
        <f t="shared" si="8"/>
        <v>100</v>
      </c>
      <c r="AA19" s="831">
        <f t="shared" si="8"/>
        <v>577</v>
      </c>
      <c r="AB19" s="831">
        <f t="shared" si="8"/>
        <v>0</v>
      </c>
      <c r="AC19" s="831">
        <f t="shared" si="8"/>
        <v>0</v>
      </c>
      <c r="AD19" s="832">
        <f t="shared" si="8"/>
        <v>0</v>
      </c>
      <c r="AE19" s="832">
        <f t="shared" si="8"/>
        <v>1451</v>
      </c>
      <c r="AF19" s="833">
        <f t="shared" si="8"/>
        <v>0</v>
      </c>
      <c r="AG19" s="834">
        <f t="shared" si="8"/>
        <v>0</v>
      </c>
      <c r="AH19" s="835">
        <f t="shared" si="8"/>
        <v>0</v>
      </c>
      <c r="AI19" s="833">
        <f t="shared" si="8"/>
        <v>0</v>
      </c>
      <c r="AJ19" s="823">
        <f t="shared" si="8"/>
        <v>203</v>
      </c>
      <c r="AK19" s="823">
        <f t="shared" si="8"/>
        <v>385</v>
      </c>
      <c r="AL19" s="823">
        <f t="shared" si="8"/>
        <v>0</v>
      </c>
      <c r="AM19" s="836">
        <f t="shared" si="8"/>
        <v>0</v>
      </c>
      <c r="AN19" s="826">
        <f>IF(ISNUMBER(Datos!K19/Datos!J19),Datos!K19/Datos!J19," - ")</f>
        <v>0.91446028513238287</v>
      </c>
      <c r="AO19" s="826">
        <f>IF(ISNUMBER(FIND("06",Criterios!A8,1)),(IF(ISNUMBER(((Datos!R19/Datos!Q19)*11)/factor_trimestre),((Datos!R19/Datos!Q19)*11)/factor_trimestre," - ")),(IF(ISNUMBER(((Datos!L19/Datos!K19)*11)/factor_trimestre),((Datos!L19/Datos!K19)*11)/factor_trimestre," - ")))</f>
        <v>5.4253897550111363</v>
      </c>
      <c r="AP19" s="837" t="str">
        <f>IF(ISNUMBER(Datos!CI19/Datos!CJ19),Datos!CI19/Datos!CJ19," - ")</f>
        <v xml:space="preserve"> - </v>
      </c>
      <c r="AQ19" s="837">
        <f>IF(OR(ISNUMBER(FIND("01",Criterios!A8,1)),ISNUMBER(FIND("02",Criterios!A8,1)),ISNUMBER(FIND("03",Criterios!A8,1)),ISNUMBER(FIND("04",Criterios!A8,1))),(J19-Y19+K19)/(F19-K19),(I19-Y19+K19)/(F19-K19))</f>
        <v>-0.84528301886792456</v>
      </c>
      <c r="AR19" s="837">
        <f>IF(ISNUMBER((Datos!P19-Datos!Q19+O19)/(Datos!R19-Datos!P19+Datos!Q19-O19)),(Datos!P19-Datos!Q19+O19)/(Datos!R19-Datos!P19+Datos!Q19-O19)," - ")</f>
        <v>2.5441696113074206E-2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228.4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265.58112382722783</v>
      </c>
      <c r="G21" s="555">
        <f>IF(ISNUMBER(STDEV(G8:G18)),STDEV(G8:G18),"-")</f>
        <v>258.65478924620749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57.109252023351402</v>
      </c>
      <c r="AK21" s="255"/>
      <c r="AL21" s="255">
        <f>IF(ISNUMBER(STDEV(AL8:AL18)),STDEV(AL8:AL18),"-")</f>
        <v>0</v>
      </c>
      <c r="AM21" s="257">
        <f>IF(ISNUMBER(STDEV(AM8:AM18)),STDEV(AM8:AM18),"-")</f>
        <v>0</v>
      </c>
      <c r="AN21" s="542">
        <f>IF(ISNUMBER(STDEV(AN8:AN18)),STDEV(AN8:AN18),"-")</f>
        <v>0</v>
      </c>
      <c r="AO21" s="543">
        <f>IF(ISNUMBER(STDEV(AO8:AO18)),STDEV(AO8:AO18),"-")</f>
        <v>7.0545332489346535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XNCfFShHr6zKDKyGh1RzqnFf4wjNw6gB6Q8aF1ZVaY5c85dOQOP08sIw/CE9TsImzIdMZ+XnZ/RFW8WQKLoUJg==" saltValue="jS05URhRU8ztUNMgRIbr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VLpBMNeOMWC8AYewZQNiBlr3kQwkiw+CYaExCW5wTiax4EOhOcKzYl20HWlOoJLb17kikmdzoJ92Or1qhZ0aBg==" saltValue="mEV+3/UXZB00vVRstV7f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JVq0QKgU2nkPz1311VHWu/yYZv5OZnE727wb6z3RTKWv/7YoIDXnvgVjIcxSBe6w7RSnfV0wvDTDeYI+T2Q==" saltValue="Ong0UYBnH9IOkgMgDNQ2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NAVARRA</v>
      </c>
    </row>
    <row r="2" spans="1:75" ht="16.5" customHeight="1">
      <c r="C2" s="491" t="str">
        <f>Criterios!A10 &amp;"  "&amp;Criterios!B10 &amp; "  " &amp; IF(NOT(ISBLANK(Criterios!A11)),Criterios!A11 &amp;"  "&amp;Criterios!B11,"")</f>
        <v>Provincias  NAVARRA  Resumenes por Partidos Judiciales  ESTELLA-LIZARRA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0.26104417670682734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0.18458610753865701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y+uZA6Lh3EgrhDCM79naz+HGqDzA7bLuG+NLfPDOYYiAXtXD+I7eQQYrJOHVyN+inizhsNgI2DgCdKQ/q/wkiw==" saltValue="bk96C2htXirPs5kLoJUe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BUKI3ny7QWR9AXMiXMUT/PUUd6I4IMjizpiuh47trfazcbe7XJHiAxEfgJWyBJ9MBMu3G5vVFEG4tTmMjV7YHg==" saltValue="HMQtFHF663IPQN5t43LB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NAVARRA</v>
      </c>
      <c r="C2" s="378"/>
      <c r="D2" s="378"/>
      <c r="E2" s="378"/>
      <c r="F2" s="378"/>
    </row>
    <row r="3" spans="1:14" ht="19.5">
      <c r="A3" s="393" t="s">
        <v>115</v>
      </c>
      <c r="B3" s="394" t="str">
        <f>Criterios!A10 &amp;"  "&amp;Criterios!B10</f>
        <v>Provincias  NAVARRA</v>
      </c>
      <c r="D3" s="378"/>
      <c r="E3" s="378"/>
      <c r="F3" s="378"/>
    </row>
    <row r="4" spans="1:14" ht="13.5" thickBot="1">
      <c r="A4" s="378"/>
      <c r="B4" s="394" t="str">
        <f>Criterios!A11 &amp;"  "&amp;Criterios!B11</f>
        <v>Resumenes por Partidos Judiciales  ESTELLA-LIZARRA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35</v>
      </c>
      <c r="D10" s="407">
        <f>IF(ISNUMBER(C10/Datos!BH10),C10/Datos!BH10," - ")</f>
        <v>35</v>
      </c>
      <c r="E10" s="406">
        <f>IF(ISNUMBER(Datos!J10),Datos!J10," - ")</f>
        <v>6</v>
      </c>
      <c r="F10" s="407">
        <f>IF(ISNUMBER(E10/B10),E10/B10," - ")</f>
        <v>6</v>
      </c>
      <c r="G10" s="406">
        <f>IF(ISNUMBER(Datos!K10),Datos!K10," - ")</f>
        <v>5</v>
      </c>
      <c r="H10" s="407">
        <f>IF(ISNUMBER(G10/B10),G10/B10," - ")</f>
        <v>5</v>
      </c>
      <c r="I10" s="406">
        <f>IF(ISNUMBER(Datos!L10),Datos!L10," - ")</f>
        <v>36</v>
      </c>
      <c r="J10" s="407">
        <f>IF(ISNUMBER(I10/B10),I10/B10," - ")</f>
        <v>36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962</v>
      </c>
      <c r="D12" s="407">
        <f>IF(ISNUMBER(C12/Datos!BH12),C12/Datos!BH12," - ")</f>
        <v>481</v>
      </c>
      <c r="E12" s="406">
        <f>IF(ISNUMBER(IF(J_V="SI",Datos!J12,Datos!J12+Datos!Z12)),IF(J_V="SI",Datos!J12,Datos!J12+Datos!Z12)," - ")</f>
        <v>588</v>
      </c>
      <c r="F12" s="407">
        <f>IF(ISNUMBER(E12/B12),E12/B12," - ")</f>
        <v>294</v>
      </c>
      <c r="G12" s="406">
        <f>IF(ISNUMBER(IF(J_V="SI",Datos!K12,Datos!K12+Datos!AA12)),IF(J_V="SI",Datos!K12,Datos!K12+Datos!AA12)," - ")</f>
        <v>493</v>
      </c>
      <c r="H12" s="407">
        <f>IF(ISNUMBER(G12/B12),G12/B12," - ")</f>
        <v>246.5</v>
      </c>
      <c r="I12" s="406">
        <f>IF(ISNUMBER(IF(J_V="SI",Datos!L12,Datos!L12+Datos!AB12)),IF(J_V="SI",Datos!L12,Datos!L12+Datos!AB12)," - ")</f>
        <v>1057</v>
      </c>
      <c r="J12" s="407">
        <f>IF(ISNUMBER(I12/B12),I12/B12," - ")</f>
        <v>528.5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997</v>
      </c>
      <c r="D13" s="853" t="str">
        <f>IF(ISNUMBER(C13/Datos!BI13),C13/Datos!BI13," - ")</f>
        <v xml:space="preserve"> - </v>
      </c>
      <c r="E13" s="852">
        <f>SUBTOTAL(9,E8:E12)</f>
        <v>594</v>
      </c>
      <c r="F13" s="853">
        <f>IF(ISNUMBER(E13/B13),E13/B13," - ")</f>
        <v>297</v>
      </c>
      <c r="G13" s="852">
        <f>SUBTOTAL(9,G8:G12)</f>
        <v>498</v>
      </c>
      <c r="H13" s="853">
        <f>IF(ISNUMBER(G13/B13),G13/B13," - ")</f>
        <v>249</v>
      </c>
      <c r="I13" s="852">
        <f>SUBTOTAL(9,I8:I12)</f>
        <v>1093</v>
      </c>
      <c r="J13" s="853">
        <f>IF(ISNUMBER(I13/B13),I13/B13," - ")</f>
        <v>546.5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486</v>
      </c>
      <c r="D16" s="407">
        <f>IF(ISNUMBER(C16/Datos!BH16),C16/Datos!BH16," - ")</f>
        <v>243</v>
      </c>
      <c r="E16" s="406">
        <f>IF(ISNUMBER(IF(D_I="SI",Datos!J16,Datos!J16+Datos!AD16)),IF(D_I="SI",Datos!J16,Datos!J16+Datos!AD16)," - ")</f>
        <v>397</v>
      </c>
      <c r="F16" s="407">
        <f>IF(ISNUMBER(E16/B16),E16/B16," - ")</f>
        <v>198.5</v>
      </c>
      <c r="G16" s="406">
        <f>IF(ISNUMBER(IF(D_I="SI",Datos!K16,Datos!K16+Datos!AE16)),IF(D_I="SI",Datos!K16,Datos!K16+Datos!AE16)," - ")</f>
        <v>398</v>
      </c>
      <c r="H16" s="407">
        <f>IF(ISNUMBER(G16/B16),G16/B16," - ")</f>
        <v>199</v>
      </c>
      <c r="I16" s="406">
        <f>IF(ISNUMBER(IF(D_I="SI",Datos!L16,Datos!L16+Datos!AF16)),IF(D_I="SI",Datos!L16,Datos!L16+Datos!AF16)," - ")</f>
        <v>494</v>
      </c>
      <c r="J16" s="407">
        <f>IF(ISNUMBER(I16/B16),I16/B16," - ")</f>
        <v>247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50</v>
      </c>
      <c r="D17" s="407">
        <f>IF(ISNUMBER(C17/Datos!BH17),C17/Datos!BH17," - ")</f>
        <v>50</v>
      </c>
      <c r="E17" s="406">
        <f>IF(ISNUMBER(IF(D_I="SI",Datos!J17,Datos!J17+Datos!AD17)),IF(D_I="SI",Datos!J17,Datos!J17+Datos!AD17)," - ")</f>
        <v>42</v>
      </c>
      <c r="F17" s="407">
        <f>IF(ISNUMBER(E17/B17),E17/B17," - ")</f>
        <v>42</v>
      </c>
      <c r="G17" s="406">
        <f>IF(ISNUMBER(IF(D_I="SI",Datos!K17,Datos!K17+Datos!AE17)),IF(D_I="SI",Datos!K17,Datos!K17+Datos!AE17)," - ")</f>
        <v>45</v>
      </c>
      <c r="H17" s="407">
        <f>IF(ISNUMBER(G17/B17),G17/B17," - ")</f>
        <v>45</v>
      </c>
      <c r="I17" s="406">
        <f>IF(ISNUMBER(IF(D_I="SI",Datos!L17,Datos!L17+Datos!AF17)),IF(D_I="SI",Datos!L17,Datos!L17+Datos!AF17)," - ")</f>
        <v>47</v>
      </c>
      <c r="J17" s="407">
        <f>IF(ISNUMBER(I17/B17),I17/B17," - ")</f>
        <v>47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536</v>
      </c>
      <c r="D18" s="853" t="str">
        <f>IF(ISNUMBER(C18/Datos!BI18),C18/Datos!BI18," - ")</f>
        <v xml:space="preserve"> - </v>
      </c>
      <c r="E18" s="852">
        <f>SUBTOTAL(9,E14:E17)</f>
        <v>439</v>
      </c>
      <c r="F18" s="853">
        <f>IF(ISNUMBER(E18/B18),E18/B18," - ")</f>
        <v>219.5</v>
      </c>
      <c r="G18" s="852">
        <f>SUBTOTAL(9,G14:G17)</f>
        <v>443</v>
      </c>
      <c r="H18" s="853">
        <f>IF(ISNUMBER(G18/B18),G18/B18," - ")</f>
        <v>221.5</v>
      </c>
      <c r="I18" s="852">
        <f>SUBTOTAL(9,I14:I17)</f>
        <v>541</v>
      </c>
      <c r="J18" s="853">
        <f>IF(ISNUMBER(I18/B18),I18/B18," - ")</f>
        <v>270.5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1533</v>
      </c>
      <c r="D19" s="798" t="str">
        <f>IF(ISNUMBER(C19/Datos!BI19),C19/Datos!BI19," - ")</f>
        <v xml:space="preserve"> - </v>
      </c>
      <c r="E19" s="797">
        <f>SUBTOTAL(9,E9:E18)</f>
        <v>1033</v>
      </c>
      <c r="F19" s="798">
        <f>IF(ISNUMBER(E19/B19),E19/B19," - ")</f>
        <v>516.5</v>
      </c>
      <c r="G19" s="797">
        <f>SUBTOTAL(9,G9:G18)</f>
        <v>941</v>
      </c>
      <c r="H19" s="798">
        <f>IF(ISNUMBER(G19/B19),G19/B19," - ")</f>
        <v>470.5</v>
      </c>
      <c r="I19" s="797">
        <f>SUBTOTAL(9,I9:I18)</f>
        <v>1634</v>
      </c>
      <c r="J19" s="798">
        <f>IF(ISNUMBER(I19/B19),I19/B19," - ")</f>
        <v>817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fC83yOyks2DiLedku4Usf6MijdYK/NYIk13/LTpk1HkE0qhrOfpSG18gR3yWAP1TP+7y5I3Ae4jBo4iB0zqx+A==" saltValue="XxHfEw0yXCg2iNg6ykyK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NAVARRA</v>
      </c>
      <c r="W1"/>
      <c r="X1"/>
    </row>
    <row r="2" spans="1:65" ht="16.5" customHeight="1">
      <c r="C2" s="491" t="str">
        <f>Criterios!A10 &amp;"  "&amp;Criterios!B10 &amp; "  " &amp; IF(NOT(ISBLANK(Criterios!A11)),Criterios!A11 &amp;"  "&amp;Criterios!B11,"")</f>
        <v>Provincias  NAVARRA  Resumenes por Partidos Judiciales  ESTELLA-LIZARRA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35</v>
      </c>
      <c r="G10" s="687">
        <f>IF(ISNUMBER(Datos!I10),Datos!I10," - ")</f>
        <v>35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36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21.6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1382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129</v>
      </c>
      <c r="AM12" s="693">
        <f>IF(ISNUMBER(Datos!N12+DatosP!N16),Datos!N12+DatosP!N16," - ")</f>
        <v>151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6.4320486815415823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3.0574198359433258E-2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35</v>
      </c>
      <c r="G13" s="941">
        <f t="shared" si="0"/>
        <v>35</v>
      </c>
      <c r="H13" s="941">
        <f t="shared" si="0"/>
        <v>0</v>
      </c>
      <c r="I13" s="943">
        <f t="shared" si="0"/>
        <v>0</v>
      </c>
      <c r="J13" s="942">
        <f t="shared" si="0"/>
        <v>0</v>
      </c>
      <c r="K13" s="942">
        <f t="shared" si="0"/>
        <v>0</v>
      </c>
      <c r="L13" s="944">
        <f t="shared" si="0"/>
        <v>0</v>
      </c>
      <c r="M13" s="944">
        <f t="shared" si="0"/>
        <v>0</v>
      </c>
      <c r="N13" s="942">
        <f t="shared" si="0"/>
        <v>129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88</v>
      </c>
      <c r="AE13" s="942">
        <f t="shared" si="1"/>
        <v>0</v>
      </c>
      <c r="AF13" s="942">
        <f t="shared" si="1"/>
        <v>36</v>
      </c>
      <c r="AG13" s="942">
        <f t="shared" si="1"/>
        <v>0</v>
      </c>
      <c r="AH13" s="942">
        <f t="shared" si="1"/>
        <v>1382</v>
      </c>
      <c r="AI13" s="942">
        <f t="shared" si="1"/>
        <v>0</v>
      </c>
      <c r="AJ13" s="942">
        <f t="shared" si="1"/>
        <v>0</v>
      </c>
      <c r="AK13" s="942">
        <f t="shared" si="1"/>
        <v>0</v>
      </c>
      <c r="AL13" s="942">
        <f t="shared" si="1"/>
        <v>130</v>
      </c>
      <c r="AM13" s="942">
        <f t="shared" si="1"/>
        <v>153</v>
      </c>
      <c r="AN13" s="942">
        <f t="shared" si="1"/>
        <v>0</v>
      </c>
      <c r="AO13" s="942">
        <f t="shared" si="1"/>
        <v>0</v>
      </c>
      <c r="AP13" s="947">
        <f>IF(ISNUMBER(((Datos!L13/Datos!K13)*11)/factor_trimestre),((Datos!L13/Datos!K13)*11)/factor_trimestre," - ")</f>
        <v>7.140659340659341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-0.14285714285714285</v>
      </c>
      <c r="AU13" s="942" t="str">
        <f>IF(ISNUMBER((DatosP!#REF!-DatosP!#REF!+DatosP!#REF!)/(DatosP!#REF!+DatosP!#REF!-DatosP!#REF!-DatosP!#REF!)),(DatosP!#REF!-DatosP!#REF!+DatosP!#REF!)/(DatosP!#REF!+DatosP!#REF!-DatosP!#REF!-DatosP!#REF!)," - ")</f>
        <v xml:space="preserve"> - </v>
      </c>
      <c r="AV13" s="948">
        <f>SUBTOTAL(9,AV9:AV12)</f>
        <v>3.0574198359433258E-2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3.6636568848758468</v>
      </c>
      <c r="AQ18" s="947">
        <f>IF(ISNUMBER(((Datos!M18/Datos!L18)*11)/factor_trimestre),((Datos!M18/Datos!L18)*11)/factor_trimestre," - ")</f>
        <v>0.40480591497227358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-3.3898305084745763E-2</v>
      </c>
      <c r="AW18" s="949">
        <f>IF(ISNUMBER((Datos!Q18-Datos!R18)/(Datos!S18-Datos!Q18+Datos!R18)),(Datos!Q18-Datos!R18)/(Datos!S18-Datos!Q18+Datos!R18)," - ")</f>
        <v>-9.775967413441955E-2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35</v>
      </c>
      <c r="G19" s="954">
        <f t="shared" si="4"/>
        <v>35</v>
      </c>
      <c r="H19" s="954">
        <f t="shared" si="4"/>
        <v>0</v>
      </c>
      <c r="I19" s="955">
        <f t="shared" si="4"/>
        <v>0</v>
      </c>
      <c r="J19" s="956">
        <f t="shared" si="4"/>
        <v>0</v>
      </c>
      <c r="K19" s="956">
        <f t="shared" si="4"/>
        <v>0</v>
      </c>
      <c r="L19" s="956">
        <f t="shared" si="4"/>
        <v>0</v>
      </c>
      <c r="M19" s="956">
        <f t="shared" si="4"/>
        <v>0</v>
      </c>
      <c r="N19" s="955">
        <f t="shared" si="4"/>
        <v>129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88</v>
      </c>
      <c r="AE19" s="960">
        <f t="shared" si="5"/>
        <v>0</v>
      </c>
      <c r="AF19" s="961">
        <f t="shared" si="5"/>
        <v>36</v>
      </c>
      <c r="AG19" s="961">
        <f t="shared" si="5"/>
        <v>0</v>
      </c>
      <c r="AH19" s="961">
        <f t="shared" si="5"/>
        <v>1382</v>
      </c>
      <c r="AI19" s="961">
        <f t="shared" si="5"/>
        <v>0</v>
      </c>
      <c r="AJ19" s="962">
        <f t="shared" si="5"/>
        <v>0</v>
      </c>
      <c r="AK19" s="962">
        <f t="shared" si="5"/>
        <v>0</v>
      </c>
      <c r="AL19" s="954">
        <f t="shared" si="5"/>
        <v>130</v>
      </c>
      <c r="AM19" s="954">
        <f t="shared" si="5"/>
        <v>153</v>
      </c>
      <c r="AN19" s="954">
        <f t="shared" si="5"/>
        <v>0</v>
      </c>
      <c r="AO19" s="954">
        <f t="shared" si="5"/>
        <v>0</v>
      </c>
      <c r="AP19" s="954">
        <f>IF(ISNUMBER(((Datos!L19/Datos!K19)*11)/factor_trimestre),((Datos!L19/Datos!K19)*11)/factor_trimestre," - ")</f>
        <v>5.4253897550111363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-0.14285714285714285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2.5441696113074206E-2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23.333333333333332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20.207259421636902</v>
      </c>
      <c r="G21" s="740">
        <f>IF(ISNUMBER(STDEV(G8:G18)),STDEV(G8:G18),"-")</f>
        <v>20.207259421636902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74.48042248358513</v>
      </c>
      <c r="AM21" s="739"/>
      <c r="AN21" s="739">
        <f>IF(ISNUMBER(STDEV(AN8:AN18)),STDEV(AN8:AN18),"-")</f>
        <v>0</v>
      </c>
      <c r="AO21" s="745">
        <f>IF(ISNUMBER(STDEV(AO8:AO18)),STDEV(AO8:AO18),"-")</f>
        <v>0</v>
      </c>
      <c r="AP21" s="782">
        <f>IF(ISNUMBER(STDEV(AP8:AP18)),STDEV(AP8:AP18),"-")</f>
        <v>8.067978640532349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9++38f1oEdSGSUvVEkwsDzdnwTliUy/Op3Lz7Dn0AUybpRjkJgL3cYQir8QRAe6jDQSzziyI6ilhjCfHtQgVwg==" saltValue="uaWKRoJ9cKQnYwKtViyo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NAVARRA</v>
      </c>
      <c r="C2" s="378"/>
      <c r="E2" s="378"/>
      <c r="F2" s="378"/>
      <c r="G2" s="378"/>
      <c r="H2" s="378"/>
    </row>
    <row r="3" spans="1:15" ht="39">
      <c r="A3" s="418" t="s">
        <v>221</v>
      </c>
      <c r="B3" s="394" t="str">
        <f>Criterios!A10 &amp;"  "&amp;Criterios!B10</f>
        <v>Provincias  NAVARRA</v>
      </c>
      <c r="C3" s="418"/>
      <c r="F3" s="378"/>
      <c r="G3" s="378"/>
      <c r="H3" s="378"/>
    </row>
    <row r="4" spans="1:15" ht="13.5" thickBot="1">
      <c r="A4" s="378"/>
      <c r="B4" s="394" t="str">
        <f>Criterios!A11 &amp;"  "&amp;Criterios!B11</f>
        <v>Resumenes por Partidos Judiciales  ESTELLA-LIZARRA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HpU2nCaNcTPKVSzxyzj/UtxEW9sFL/1YPx38GEHZZ+oL7ECvzYc1PC+kpXD9opcLJTsi86nkp+DLePdbhbEP7g==" saltValue="nCqinhJwvZSVv0xXWMdb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NAVARRA</v>
      </c>
      <c r="C2" s="394"/>
    </row>
    <row r="3" spans="1:9" ht="19.5">
      <c r="A3" s="428" t="s">
        <v>11</v>
      </c>
      <c r="B3" s="394" t="str">
        <f>Criterios!A10 &amp;"  "&amp;Criterios!B10</f>
        <v>Provincias  NAVARRA</v>
      </c>
      <c r="C3" s="394"/>
      <c r="D3" s="428"/>
    </row>
    <row r="4" spans="1:9" ht="13.5" thickBot="1">
      <c r="B4" s="394" t="str">
        <f>Criterios!A11 &amp;"  "&amp;Criterios!B11</f>
        <v>Resumenes por Partidos Judiciales  ESTELLA-LIZARRA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129</v>
      </c>
      <c r="E12" s="407">
        <f t="shared" si="0"/>
        <v>64.5</v>
      </c>
      <c r="F12" s="406">
        <f>IF(ISNUMBER(Datos!N12),Datos!N12," - ")</f>
        <v>151</v>
      </c>
      <c r="G12" s="407">
        <f t="shared" si="1"/>
        <v>75.5</v>
      </c>
      <c r="H12" s="406">
        <f>IF(ISNUMBER(Datos!O12),Datos!O12," - ")</f>
        <v>230</v>
      </c>
      <c r="I12" s="407">
        <f t="shared" si="2"/>
        <v>115</v>
      </c>
    </row>
    <row r="13" spans="1:9" ht="14.25" thickTop="1" thickBot="1">
      <c r="A13" s="851" t="str">
        <f>Datos!A13</f>
        <v>TOTAL</v>
      </c>
      <c r="B13" s="852">
        <f>Datos!AO13</f>
        <v>3</v>
      </c>
      <c r="C13" s="854">
        <f>Datos!AR13</f>
        <v>2</v>
      </c>
      <c r="D13" s="852">
        <f>SUBTOTAL(9,D9:D12)</f>
        <v>130</v>
      </c>
      <c r="E13" s="853">
        <f t="shared" si="0"/>
        <v>43.333333333333336</v>
      </c>
      <c r="F13" s="852">
        <f>SUBTOTAL(9,F9:F12)</f>
        <v>153</v>
      </c>
      <c r="G13" s="853">
        <f t="shared" si="1"/>
        <v>51</v>
      </c>
      <c r="H13" s="852">
        <f>SUBTOTAL(9,H9:H12)</f>
        <v>230</v>
      </c>
      <c r="I13" s="853">
        <f>IF(ISNUMBER(H13/B13),H13/B13," - ")</f>
        <v>76.666666666666671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70</v>
      </c>
      <c r="E16" s="407">
        <f t="shared" si="3"/>
        <v>35</v>
      </c>
      <c r="F16" s="406">
        <f>IF(ISNUMBER(Datos!N16),Datos!N16," - ")</f>
        <v>207</v>
      </c>
      <c r="G16" s="407">
        <f t="shared" si="4"/>
        <v>103.5</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25</v>
      </c>
      <c r="G17" s="407">
        <f>IF(ISNUMBER(F17/B17),F17/B17," - ")</f>
        <v>25</v>
      </c>
      <c r="H17" s="406">
        <f>IF(ISNUMBER(Datos!O17),Datos!O17," - ")</f>
        <v>0</v>
      </c>
      <c r="I17" s="407">
        <f t="shared" si="5"/>
        <v>0</v>
      </c>
    </row>
    <row r="18" spans="1:9" ht="14.25" thickTop="1" thickBot="1">
      <c r="A18" s="851" t="str">
        <f>Datos!A18</f>
        <v>TOTAL</v>
      </c>
      <c r="B18" s="852">
        <f>Datos!AO18</f>
        <v>3</v>
      </c>
      <c r="C18" s="854">
        <f>Datos!AR18</f>
        <v>2</v>
      </c>
      <c r="D18" s="852">
        <f>SUBTOTAL(9,D15:D17)</f>
        <v>73</v>
      </c>
      <c r="E18" s="853">
        <f t="shared" si="3"/>
        <v>24.333333333333332</v>
      </c>
      <c r="F18" s="852">
        <f>SUBTOTAL(9,F15:F17)</f>
        <v>232</v>
      </c>
      <c r="G18" s="853">
        <f t="shared" si="4"/>
        <v>77.333333333333329</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203</v>
      </c>
      <c r="E19" s="798">
        <f>IF(ISNUMBER(D19/B19),D19/B19," - ")</f>
        <v>101.5</v>
      </c>
      <c r="F19" s="797">
        <f>SUBTOTAL(9,F8:F18)</f>
        <v>385</v>
      </c>
      <c r="G19" s="798">
        <f>IF(ISNUMBER(F19/B19),F19/B19," - ")</f>
        <v>192.5</v>
      </c>
      <c r="H19" s="797">
        <f>SUBTOTAL(9,H8:H18)</f>
        <v>231</v>
      </c>
      <c r="I19" s="798">
        <f>IF(ISNUMBER(H19/B19),H19/B19," - ")</f>
        <v>115.5</v>
      </c>
    </row>
    <row r="22" spans="1:9">
      <c r="A22" s="394" t="str">
        <f>Criterios!A4</f>
        <v>Fecha Informe: 07 mar. 2024</v>
      </c>
    </row>
    <row r="27" spans="1:9">
      <c r="A27" s="417"/>
    </row>
  </sheetData>
  <sheetProtection algorithmName="SHA-512" hashValue="xeJYmLPsOjdaV1NrVRqjTqLRoX6g6+9t74md57Yuewui5KodNCf1wvPKy35Dv+HvGn/qK6s3yNdAL+iTkalvHQ==" saltValue="PkL+f5ydY6gY1xyMpAnK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NAVARRA</v>
      </c>
    </row>
    <row r="3" spans="1:4" ht="19.5">
      <c r="A3" s="432" t="s">
        <v>32</v>
      </c>
      <c r="B3" s="394" t="str">
        <f>Criterios!A10 &amp;"  "&amp;Criterios!B10</f>
        <v>Provincias  NAVARRA</v>
      </c>
    </row>
    <row r="4" spans="1:4" ht="13.5" thickBot="1">
      <c r="B4" s="394" t="str">
        <f>Criterios!A11 &amp;"  "&amp;Criterios!B11</f>
        <v>Resumenes por Partidos Judiciales  ESTELLA-LIZARRA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3</v>
      </c>
      <c r="D10" s="411">
        <f>IF(ISNUMBER(Datos!R10),Datos!R10," - ")</f>
        <v>12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129</v>
      </c>
      <c r="C12" s="437">
        <f>IF(ISNUMBER(Datos!Q12),Datos!Q12," - ")</f>
        <v>88</v>
      </c>
      <c r="D12" s="411">
        <f>IF(ISNUMBER(Datos!R12),Datos!R12," - ")</f>
        <v>1382</v>
      </c>
    </row>
    <row r="13" spans="1:4" ht="14.25" thickTop="1" thickBot="1">
      <c r="A13" s="851" t="str">
        <f>Datos!A13</f>
        <v>TOTAL</v>
      </c>
      <c r="B13" s="852">
        <f>SUBTOTAL(9,B9:B12)</f>
        <v>129</v>
      </c>
      <c r="C13" s="856">
        <f>SUBTOTAL(9,C9:C12)</f>
        <v>91</v>
      </c>
      <c r="D13" s="854">
        <f>SUBTOTAL(9,D9:D12)</f>
        <v>1394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v>
      </c>
      <c r="C16" s="437">
        <f>IF(ISNUMBER(Datos!Q16),Datos!Q16," - ")</f>
        <v>9</v>
      </c>
      <c r="D16" s="411">
        <f>IF(ISNUMBER(Datos!R16),Datos!R16," - ")</f>
        <v>56</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7</v>
      </c>
      <c r="C18" s="856">
        <f>SUBTOTAL(9,C15:C17)</f>
        <v>9</v>
      </c>
      <c r="D18" s="854">
        <f>SUBTOTAL(9,D15:D17)</f>
        <v>57</v>
      </c>
    </row>
    <row r="19" spans="1:4" ht="16.5" customHeight="1" thickTop="1" thickBot="1">
      <c r="A19" s="796" t="str">
        <f>Datos!A19</f>
        <v>TOTAL JURISDICCIONES</v>
      </c>
      <c r="B19" s="801">
        <f>SUBTOTAL(9,B8:B18)</f>
        <v>136</v>
      </c>
      <c r="C19" s="802">
        <f>SUBTOTAL(9,C8:C18)</f>
        <v>100</v>
      </c>
      <c r="D19" s="803">
        <f>SUBTOTAL(9,D8:D18)</f>
        <v>1451</v>
      </c>
    </row>
    <row r="20" spans="1:4" ht="7.5" customHeight="1"/>
    <row r="21" spans="1:4" ht="6" customHeight="1"/>
    <row r="22" spans="1:4">
      <c r="A22" s="394" t="str">
        <f>Criterios!A4</f>
        <v>Fecha Informe: 07 mar. 2024</v>
      </c>
    </row>
    <row r="27" spans="1:4">
      <c r="A27" s="417"/>
    </row>
  </sheetData>
  <sheetProtection algorithmName="SHA-512" hashValue="KJzYhlinYMPAoXrIxQ+M4WBqmvRNC4ajpKyzkeZORlvLO/sIzif/0N9tPb68tUizBLyi414+kyCilkuFxLxG5Q==" saltValue="sEm4PwPdA1cCekmjREx1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NAVARRA</v>
      </c>
    </row>
    <row r="3" spans="1:11" ht="18.75" customHeight="1">
      <c r="A3" s="432" t="s">
        <v>118</v>
      </c>
      <c r="B3" s="394" t="str">
        <f>Criterios!A10 &amp;"  "&amp;Criterios!B10</f>
        <v>Provincias  NAVARRA</v>
      </c>
    </row>
    <row r="4" spans="1:11" ht="10.5" customHeight="1" thickBot="1">
      <c r="B4" s="394" t="str">
        <f>Criterios!A11 &amp;"  "&amp;Criterios!B11</f>
        <v>Resumenes por Partidos Judiciales  ESTELLA-LIZARRA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-0.14634146341463414</v>
      </c>
      <c r="C10" s="459">
        <f>IF(ISNUMBER((Datos!J10-Datos!T10)/Datos!T10),(Datos!J10-Datos!T10)/Datos!T10," - ")</f>
        <v>-0.4</v>
      </c>
      <c r="D10" s="459">
        <f>IF(ISNUMBER((Datos!K10-Datos!U10)/Datos!U10),(Datos!K10-Datos!U10)/Datos!U10," - ")</f>
        <v>-0.66666666666666663</v>
      </c>
      <c r="E10" s="459">
        <f>IF(ISNUMBER((Datos!L10-Datos!V10)/Datos!V10),(Datos!L10-Datos!V10)/Datos!V10," - ")</f>
        <v>0</v>
      </c>
      <c r="F10" s="459" t="str">
        <f>IF(ISNUMBER((Datos!M10-Datos!W10)/Datos!W10),(Datos!M10-Datos!W10)/Datos!W10," - ")</f>
        <v xml:space="preserve"> - </v>
      </c>
      <c r="G10" s="460">
        <f>IF(ISNUMBER((Datos!N10-Datos!X10)/Datos!X10),(Datos!N10-Datos!X10)/Datos!X10," - ")</f>
        <v>1</v>
      </c>
      <c r="H10" s="458">
        <f>IF(ISNUMBER(((NºAsuntos!G10/NºAsuntos!E10)-Datos!BD10)/Datos!BD10),((NºAsuntos!G10/NºAsuntos!E10)-Datos!BD10)/Datos!BD10," - ")</f>
        <v>-0.44444444444444442</v>
      </c>
      <c r="I10" s="459">
        <f>IF(ISNUMBER(((NºAsuntos!I10/NºAsuntos!G10)-Datos!BE10)/Datos!BE10),((NºAsuntos!I10/NºAsuntos!G10)-Datos!BE10)/Datos!BE10," - ")</f>
        <v>2.0000000000000004</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1.4117647058823526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0.21926489226869456</v>
      </c>
      <c r="C12" s="459">
        <f>IF(ISNUMBER(
   IF(J_V="SI",(Datos!J12-Datos!T12)/Datos!T12,(Datos!J12+Datos!Z12-(Datos!T12+Datos!AH12))/(Datos!T12+Datos!AH12))
     ),IF(J_V="SI",(Datos!J12-Datos!T12)/Datos!T12,(Datos!J12+Datos!Z12-(Datos!T12+Datos!AH12))/(Datos!T12+Datos!AH12))," - ")</f>
        <v>2.2608695652173914E-2</v>
      </c>
      <c r="D12" s="459">
        <f>IF(ISNUMBER(
   IF(J_V="SI",(Datos!K12-Datos!U12)/Datos!U12,(Datos!K12+Datos!AA12-(Datos!U12+Datos!AI12))/(Datos!U12+Datos!AI12))
     ),IF(J_V="SI",(Datos!K12-Datos!U12)/Datos!U12,(Datos!K12+Datos!AA12-(Datos!U12+Datos!AI12))/(Datos!U12+Datos!AI12))," - ")</f>
        <v>-3.3333333333333333E-2</v>
      </c>
      <c r="E12" s="459">
        <f>IF(ISNUMBER(
   IF(J_V="SI",(Datos!L12-Datos!V12)/Datos!V12,(Datos!L12+Datos!AB12-(Datos!V12+Datos!AJ12))/(Datos!V12+Datos!AJ12))
     ),IF(J_V="SI",(Datos!L12-Datos!V12)/Datos!V12,(Datos!L12+Datos!AB12-(Datos!V12+Datos!AJ12))/(Datos!V12+Datos!AJ12))," - ")</f>
        <v>0.23770491803278687</v>
      </c>
      <c r="F12" s="459">
        <f>IF(ISNUMBER((Datos!M12-Datos!W12)/Datos!W12),(Datos!M12-Datos!W12)/Datos!W12," - ")</f>
        <v>0.15178571428571427</v>
      </c>
      <c r="G12" s="460">
        <f>IF(ISNUMBER((Datos!N12-Datos!X12)/Datos!X12),(Datos!N12-Datos!X12)/Datos!X12," - ")</f>
        <v>-6.2111801242236024E-2</v>
      </c>
      <c r="H12" s="458">
        <f>IF(ISNUMBER(((NºAsuntos!G12/NºAsuntos!E12)-Datos!BD12)/Datos!BD12),((NºAsuntos!G12/NºAsuntos!E12)-Datos!BD12)/Datos!BD12," - ")</f>
        <v>-5.4705215419501137E-2</v>
      </c>
      <c r="I12" s="459">
        <f>IF(ISNUMBER(((NºAsuntos!I12/NºAsuntos!G12)-Datos!BE12)/Datos!BE12),((NºAsuntos!I12/NºAsuntos!G12)-Datos!BE12)/Datos!BE12," - ")</f>
        <v>0.28038439796495196</v>
      </c>
      <c r="J12" s="464">
        <f>IF(ISNUMBER((('Resol  Asuntos'!D12/NºAsuntos!G12)-Datos!BF12)/Datos!BF12),(('Resol  Asuntos'!D12/NºAsuntos!G12)-Datos!BF12)/Datos!BF12," - ")</f>
        <v>-0.17112872135360885</v>
      </c>
      <c r="K12" s="465">
        <f>IF(ISNUMBER((((NºAsuntos!C12+NºAsuntos!E12)/NºAsuntos!G12)-Datos!BG12)/Datos!BG12),(((NºAsuntos!C12+NºAsuntos!E12)/NºAsuntos!G12)-Datos!BG12)/Datos!BG12," - ")</f>
        <v>0.17554858934169287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0.20120481927710843</v>
      </c>
      <c r="C13" s="858">
        <f>IF(ISNUMBER(
   IF(J_V="SI",(Datos!J13-Datos!T13)/Datos!T13,(Datos!J13+Datos!Z13-(Datos!T13+Datos!AH13))/(Datos!T13+Datos!AH13))
     ),IF(J_V="SI",(Datos!J13-Datos!T13)/Datos!T13,(Datos!J13+Datos!Z13-(Datos!T13+Datos!AH13))/(Datos!T13+Datos!AH13))," - ")</f>
        <v>1.5384615384615385E-2</v>
      </c>
      <c r="D13" s="858">
        <f>IF(ISNUMBER(
   IF(J_V="SI",(Datos!K13-Datos!U13)/Datos!U13,(Datos!K13+Datos!AA13-(Datos!U13+Datos!AI13))/(Datos!U13+Datos!AI13))
     ),IF(J_V="SI",(Datos!K13-Datos!U13)/Datos!U13,(Datos!K13+Datos!AA13-(Datos!U13+Datos!AI13))/(Datos!U13+Datos!AI13))," - ")</f>
        <v>-5.1428571428571428E-2</v>
      </c>
      <c r="E13" s="858">
        <f>IF(ISNUMBER(
   IF(J_V="SI",(Datos!L13-Datos!V13)/Datos!V13,(Datos!L13+Datos!AB13-(Datos!V13+Datos!AJ13))/(Datos!V13+Datos!AJ13))
     ),IF(J_V="SI",(Datos!L13-Datos!V13)/Datos!V13,(Datos!L13+Datos!AB13-(Datos!V13+Datos!AJ13))/(Datos!V13+Datos!AJ13))," - ")</f>
        <v>0.22808988764044943</v>
      </c>
      <c r="F13" s="859">
        <f>IF(ISNUMBER((Datos!M13-Datos!W13)/Datos!W13),(Datos!M13-Datos!W13)/Datos!W13," - ")</f>
        <v>0.16071428571428573</v>
      </c>
      <c r="G13" s="860">
        <f>IF(ISNUMBER((Datos!N13-Datos!X13)/Datos!X13),(Datos!N13-Datos!X13)/Datos!X13," - ")</f>
        <v>-5.5555555555555552E-2</v>
      </c>
      <c r="H13" s="860">
        <f>IF(ISNUMBER(((NºAsuntos!G13/NºAsuntos!E13)-Datos!BD13)/Datos!BD13),((NºAsuntos!G13/NºAsuntos!E13)-Datos!BD13)/Datos!BD13," - ")</f>
        <v>-6.5800865800865874E-2</v>
      </c>
      <c r="I13" s="860">
        <f>IF(ISNUMBER(((NºAsuntos!I13/NºAsuntos!G13)-Datos!BE13)/Datos!BE13),((NºAsuntos!I13/NºAsuntos!G13)-Datos!BE13)/Datos!BE13," - ")</f>
        <v>0.29467307431975104</v>
      </c>
      <c r="J13" s="860">
        <f>IF(ISNUMBER((('Resol  Asuntos'!D13/NºAsuntos!G13)-Datos!BF13)/Datos!BF13),(('Resol  Asuntos'!D13/NºAsuntos!G13)-Datos!BF13)/Datos!BF13," - ")</f>
        <v>-0.14876898899947602</v>
      </c>
      <c r="K13" s="860">
        <f>IF(ISNUMBER((((NºAsuntos!C13+NºAsuntos!E13)/NºAsuntos!G13)-Datos!BG13)/Datos!BG13),(((NºAsuntos!C13+NºAsuntos!E13)/NºAsuntos!G13)-Datos!BG13)/Datos!BG13," - ")</f>
        <v>0.18534207501383626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0.24296675191815856</v>
      </c>
      <c r="C16" s="459">
        <f>IF(ISNUMBER(
   IF(D_I="SI",(Datos!J16-Datos!T16)/Datos!T16,(Datos!J16+Datos!AD16-(Datos!T16+Datos!AL16))/(Datos!T16+Datos!AL16))
     ),IF(D_I="SI",(Datos!J16-Datos!T16)/Datos!T16,(Datos!J16+Datos!AD16-(Datos!T16+Datos!AL16))/(Datos!T16+Datos!AL16))," - ")</f>
        <v>-1.2437810945273632E-2</v>
      </c>
      <c r="D16" s="459">
        <f>IF(ISNUMBER(
   IF(D_I="SI",(Datos!K16-Datos!U16)/Datos!U16,(Datos!K16+Datos!AE16-(Datos!U16+Datos!AM16))/(Datos!U16+Datos!AM16))
     ),IF(D_I="SI",(Datos!K16-Datos!U16)/Datos!U16,(Datos!K16+Datos!AE16-(Datos!U16+Datos!AM16))/(Datos!U16+Datos!AM16))," - ")</f>
        <v>-0.20558882235528941</v>
      </c>
      <c r="E16" s="459">
        <f>IF(ISNUMBER(
   IF(D_I="SI",(Datos!L16-Datos!V16)/Datos!V16,(Datos!L16+Datos!AF16-(Datos!V16+Datos!AN16))/(Datos!V16+Datos!AN16))
     ),IF(D_I="SI",(Datos!L16-Datos!V16)/Datos!V16,(Datos!L16+Datos!AF16-(Datos!V16+Datos!AN16))/(Datos!V16+Datos!AN16))," - ")</f>
        <v>0.69178082191780821</v>
      </c>
      <c r="F16" s="459">
        <f>IF(ISNUMBER((Datos!M16-Datos!W16)/Datos!W16),(Datos!M16-Datos!W16)/Datos!W16," - ")</f>
        <v>6.0606060606060608E-2</v>
      </c>
      <c r="G16" s="460">
        <f>IF(ISNUMBER((Datos!N16-Datos!X16)/Datos!X16),(Datos!N16-Datos!X16)/Datos!X16," - ")</f>
        <v>-2.358490566037736E-2</v>
      </c>
      <c r="H16" s="458">
        <f>IF(ISNUMBER(((NºAsuntos!G16/NºAsuntos!E16)-Datos!BD16)/Datos!BD16),((NºAsuntos!G16/NºAsuntos!E16)-Datos!BD16)/Datos!BD16," - ")</f>
        <v>-0.19558364379553225</v>
      </c>
      <c r="I16" s="459">
        <f>IF(ISNUMBER(((NºAsuntos!I16/NºAsuntos!G16)-Datos!BE16)/Datos!BE16),((NºAsuntos!I16/NºAsuntos!G16)-Datos!BE16)/Datos!BE16," - ")</f>
        <v>1.1296034969367386</v>
      </c>
      <c r="J16" s="464">
        <f>IF(ISNUMBER((('Resol  Asuntos'!D16/NºAsuntos!G16)-Datos!BF16)/Datos!BF16),(('Resol  Asuntos'!D16/NºAsuntos!G16)-Datos!BF16)/Datos!BF16," - ")</f>
        <v>0.33508451347647328</v>
      </c>
      <c r="K16" s="465">
        <f>IF(ISNUMBER((((NºAsuntos!C16+NºAsuntos!E16)/NºAsuntos!G16)-Datos!BG16)/Datos!BG16),(((NºAsuntos!C16+NºAsuntos!E16)/NºAsuntos!G16)-Datos!BG16)/Datos!BG16," - ")</f>
        <v>0.40165835482583157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-3.8461538461538464E-2</v>
      </c>
      <c r="C17" s="459">
        <f>IF(ISNUMBER(
   IF(D_I="SI",(Datos!J17-Datos!T17)/Datos!T17,(Datos!J17+Datos!AD17-(Datos!T17+Datos!AL17))/(Datos!T17+Datos!AL17))
     ),IF(D_I="SI",(Datos!J17-Datos!T17)/Datos!T17,(Datos!J17+Datos!AD17-(Datos!T17+Datos!AL17))/(Datos!T17+Datos!AL17))," - ")</f>
        <v>-0.125</v>
      </c>
      <c r="D17" s="459">
        <f>IF(ISNUMBER(
   IF(D_I="SI",(Datos!K17-Datos!U17)/Datos!U17,(Datos!K17+Datos!AE17-(Datos!U17+Datos!AM17))/(Datos!U17+Datos!AM17))
     ),IF(D_I="SI",(Datos!K17-Datos!U17)/Datos!U17,(Datos!K17+Datos!AE17-(Datos!U17+Datos!AM17))/(Datos!U17+Datos!AM17))," - ")</f>
        <v>-0.16666666666666666</v>
      </c>
      <c r="E17" s="459">
        <f>IF(ISNUMBER(
   IF(D_I="SI",(Datos!L17-Datos!V17)/Datos!V17,(Datos!L17+Datos!AF17-(Datos!V17+Datos!AN17))/(Datos!V17+Datos!AN17))
     ),IF(D_I="SI",(Datos!L17-Datos!V17)/Datos!V17,(Datos!L17+Datos!AF17-(Datos!V17+Datos!AN17))/(Datos!V17+Datos!AN17))," - ")</f>
        <v>2.1739130434782608E-2</v>
      </c>
      <c r="F17" s="459">
        <f>IF(ISNUMBER((Datos!M17-Datos!W17)/Datos!W17),(Datos!M17-Datos!W17)/Datos!W17," - ")</f>
        <v>-0.72727272727272729</v>
      </c>
      <c r="G17" s="460">
        <f>IF(ISNUMBER((Datos!N17-Datos!X17)/Datos!X17),(Datos!N17-Datos!X17)/Datos!X17," - ")</f>
        <v>-7.407407407407407E-2</v>
      </c>
      <c r="H17" s="458">
        <f>IF(ISNUMBER(((NºAsuntos!G17/NºAsuntos!E17)-Datos!BD17)/Datos!BD17),((NºAsuntos!G17/NºAsuntos!E17)-Datos!BD17)/Datos!BD17," - ")</f>
        <v>-4.7619047619047644E-2</v>
      </c>
      <c r="I17" s="459">
        <f>IF(ISNUMBER(((NºAsuntos!I17/NºAsuntos!G17)-Datos!BE17)/Datos!BE17),((NºAsuntos!I17/NºAsuntos!G17)-Datos!BE17)/Datos!BE17," - ")</f>
        <v>0.22608695652173919</v>
      </c>
      <c r="J17" s="464">
        <f>IF(ISNUMBER((('Resol  Asuntos'!D17/NºAsuntos!G17)-Datos!BF17)/Datos!BF17),(('Resol  Asuntos'!D17/NºAsuntos!G17)-Datos!BF17)/Datos!BF17," - ")</f>
        <v>-0.67272727272727262</v>
      </c>
      <c r="K17" s="465">
        <f>IF(ISNUMBER((((NºAsuntos!C17+NºAsuntos!E17)/NºAsuntos!G17)-Datos!BG17)/Datos!BG17),(((NºAsuntos!C17+NºAsuntos!E17)/NºAsuntos!G17)-Datos!BG17)/Datos!BG17," - ")</f>
        <v>0.10399999999999991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0.20993227990970656</v>
      </c>
      <c r="C18" s="858">
        <f>IF(ISNUMBER(
   IF(Criterios!B14="SI",(Datos!J18-Datos!T18)/Datos!T18,(Datos!J18+Datos!AD18-(Datos!T18+Datos!AL18))/(Datos!T18+Datos!AL18))
     ),IF(Criterios!B14="SI",(Datos!J18-Datos!T18)/Datos!T18,(Datos!J18+Datos!AD18-(Datos!T18+Datos!AL18))/(Datos!T18+Datos!AL18))," - ")</f>
        <v>-2.4444444444444446E-2</v>
      </c>
      <c r="D18" s="858">
        <f>IF(ISNUMBER(
   IF(Criterios!B14="SI",(Datos!K18-Datos!U18)/Datos!U18,(Datos!K18+Datos!AE18-(Datos!U18+Datos!AM18))/(Datos!U18+Datos!AM18))
     ),IF(Criterios!B14="SI",(Datos!K18-Datos!U18)/Datos!U18,(Datos!K18+Datos!AE18-(Datos!U18+Datos!AM18))/(Datos!U18+Datos!AM18))," - ")</f>
        <v>-0.20180180180180179</v>
      </c>
      <c r="E18" s="858">
        <f>IF(ISNUMBER(
   IF(Criterios!B14="SI",(Datos!L18-Datos!V18)/Datos!V18,(Datos!L18+Datos!AF18-(Datos!V18+Datos!AN18))/(Datos!V18+Datos!AN18))
     ),IF(Criterios!B14="SI",(Datos!L18-Datos!V18)/Datos!V18,(Datos!L18+Datos!AF18-(Datos!V18+Datos!AN18))/(Datos!V18+Datos!AN18))," - ")</f>
        <v>0.60059171597633132</v>
      </c>
      <c r="F18" s="859">
        <f>IF(ISNUMBER((Datos!M18-Datos!W18)/Datos!W18),(Datos!M18-Datos!W18)/Datos!W18," - ")</f>
        <v>-5.1948051948051951E-2</v>
      </c>
      <c r="G18" s="860">
        <f>IF(ISNUMBER((Datos!N18-Datos!X18)/Datos!X18),(Datos!N18-Datos!X18)/Datos!X18," - ")</f>
        <v>-2.9288702928870293E-2</v>
      </c>
      <c r="H18" s="860">
        <f>IF(ISNUMBER(((NºAsuntos!G18/NºAsuntos!E18)-Datos!BD18)/Datos!BD18),((NºAsuntos!G18/NºAsuntos!E18)-Datos!BD18)/Datos!BD18," - ")</f>
        <v>-0.18180139136858958</v>
      </c>
      <c r="I18" s="860">
        <f>IF(ISNUMBER(((NºAsuntos!I18/NºAsuntos!G18)-Datos!BE18)/Datos!BE18),((NºAsuntos!I18/NºAsuntos!G18)-Datos!BE18)/Datos!BE18," - ")</f>
        <v>1.0052559872841171</v>
      </c>
      <c r="J18" s="860">
        <f>IF(ISNUMBER((('Resol  Asuntos'!D18/NºAsuntos!G18)-Datos!BF18)/Datos!BF18),(('Resol  Asuntos'!D18/NºAsuntos!G18)-Datos!BF18)/Datos!BF18," - ")</f>
        <v>0.18774002521180846</v>
      </c>
      <c r="K18" s="860">
        <f>IF(ISNUMBER((((NºAsuntos!C18+NºAsuntos!E18)/NºAsuntos!G18)-Datos!BG18)/Datos!BG18),(((NºAsuntos!C18+NºAsuntos!E18)/NºAsuntos!G18)-Datos!BG18)/Datos!BG18," - ")</f>
        <v>0.36786240612337234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0.20424194815396701</v>
      </c>
      <c r="C19" s="805">
        <f>IF(ISNUMBER(
   IF(J_V="SI",(Datos!J19-Datos!T19)/Datos!T19,(Datos!J19+Datos!Z19-(Datos!T19+Datos!AH19))/(Datos!T19+Datos!AH19))
     ),IF(J_V="SI",(Datos!J19-Datos!T19)/Datos!T19,(Datos!J19+Datos!Z19-(Datos!T19+Datos!AH19))/(Datos!T19+Datos!AH19))," - ")</f>
        <v>-1.9323671497584541E-3</v>
      </c>
      <c r="D19" s="805">
        <f>IF(ISNUMBER(
   IF(J_V="SI",(Datos!K19-Datos!U19)/Datos!U19,(Datos!K19+Datos!AA19-(Datos!U19+Datos!AI19))/(Datos!U19+Datos!AI19))
     ),IF(J_V="SI",(Datos!K19-Datos!U19)/Datos!U19,(Datos!K19+Datos!AA19-(Datos!U19+Datos!AI19))/(Datos!U19+Datos!AI19))," - ")</f>
        <v>-0.12870370370370371</v>
      </c>
      <c r="E19" s="805">
        <f>IF(ISNUMBER(
   IF(J_V="SI",(Datos!L19-Datos!V19)/Datos!V19,(Datos!L19+Datos!AB19-(Datos!V19+Datos!AJ19))/(Datos!V19+Datos!AJ19))
     ),IF(J_V="SI",(Datos!L19-Datos!V19)/Datos!V19,(Datos!L19+Datos!AB19-(Datos!V19+Datos!AJ19))/(Datos!V19+Datos!AJ19))," - ")</f>
        <v>0.3306188925081433</v>
      </c>
      <c r="F19" s="806">
        <f>IF(ISNUMBER((Datos!M19-Datos!W19)/Datos!W19),(Datos!M19-Datos!W19)/Datos!W19," - ")</f>
        <v>7.407407407407407E-2</v>
      </c>
      <c r="G19" s="807">
        <f>IF(ISNUMBER((Datos!N19-Datos!X19)/Datos!X19),(Datos!N19-Datos!X19)/Datos!X19," - ")</f>
        <v>-3.9900249376558602E-2</v>
      </c>
      <c r="H19" s="808">
        <f>IF(ISNUMBER((Tasas!B19-Datos!BD19)/Datos!BD19),(Tasas!B19-Datos!BD19)/Datos!BD19," - ")</f>
        <v>-0.12701677960632457</v>
      </c>
      <c r="I19" s="809">
        <f>IF(ISNUMBER((Tasas!C19-Datos!BE19)/Datos!BE19),(Tasas!C19-Datos!BE19)/Datos!BE19," - ")</f>
        <v>0.52717152381380938</v>
      </c>
      <c r="J19" s="810">
        <f>IF(ISNUMBER((Tasas!D19-Datos!BF19)/Datos!BF19),(Tasas!D19-Datos!BF19)/Datos!BF19," - ")</f>
        <v>-2.106644995936743E-2</v>
      </c>
      <c r="K19" s="810">
        <f>IF(ISNUMBER((Tasas!E19-Datos!BG19)/Datos!BG19),(Tasas!E19-Datos!BG19)/Datos!BG19," - ")</f>
        <v>0.27601264925215091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8VWjA8fJROySpKXjYL0qTPQ2saMfjrGmFg+9oBPZLBq+HLN8cBw5eVbas9XjemkfHa+iI5QYVF5SFg45uHU4Sg==" saltValue="hSZozQ63N/PPIn5BnWR2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NAVARRA</v>
      </c>
    </row>
    <row r="3" spans="1:7" ht="19.5">
      <c r="A3" s="439" t="s">
        <v>12</v>
      </c>
      <c r="B3" s="394" t="str">
        <f>Criterios!A10 &amp;"  "&amp;Criterios!B10</f>
        <v>Provincias  NAVARRA</v>
      </c>
    </row>
    <row r="4" spans="1:7" ht="11.25" customHeight="1" thickBot="1">
      <c r="B4" s="394" t="str">
        <f>Criterios!A11 &amp;"  "&amp;Criterios!B11</f>
        <v>Resumenes por Partidos Judiciales  ESTELLA-LIZARRA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0.83333333333333337</v>
      </c>
      <c r="C10" s="446">
        <f>IF(ISNUMBER(NºAsuntos!I10/NºAsuntos!G10),NºAsuntos!I10/NºAsuntos!G10," - ")</f>
        <v>7.2</v>
      </c>
      <c r="D10" s="447">
        <f>IF(ISNUMBER('Resol  Asuntos'!D10/NºAsuntos!G10),'Resol  Asuntos'!D10/NºAsuntos!G10," - ")</f>
        <v>0.2</v>
      </c>
      <c r="E10" s="448">
        <f>IF(ISNUMBER((NºAsuntos!C10+NºAsuntos!E10)/NºAsuntos!G10),(NºAsuntos!C10+NºAsuntos!E10)/NºAsuntos!G10," - ")</f>
        <v>8.1999999999999993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0.83843537414965985</v>
      </c>
      <c r="C12" s="446">
        <f>IF(ISNUMBER(NºAsuntos!I12/NºAsuntos!G12),NºAsuntos!I12/NºAsuntos!G12," - ")</f>
        <v>2.1440162271805274</v>
      </c>
      <c r="D12" s="447">
        <f>IF(ISNUMBER('Resol  Asuntos'!D12/NºAsuntos!G12),'Resol  Asuntos'!D12/NºAsuntos!G12," - ")</f>
        <v>0.26166328600405681</v>
      </c>
      <c r="E12" s="448">
        <f>IF(ISNUMBER((NºAsuntos!C12+NºAsuntos!E12)/NºAsuntos!G12),(NºAsuntos!C12+NºAsuntos!E12)/NºAsuntos!G12," - ")</f>
        <v>3.1440162271805274</v>
      </c>
      <c r="G12" s="466"/>
    </row>
    <row r="13" spans="1:7" ht="14.25" thickTop="1" thickBot="1">
      <c r="A13" s="851" t="str">
        <f>Datos!A13</f>
        <v>TOTAL</v>
      </c>
      <c r="B13" s="861">
        <f>IF(ISNUMBER(NºAsuntos!G13/NºAsuntos!E13),NºAsuntos!G13/NºAsuntos!E13," - ")</f>
        <v>0.83838383838383834</v>
      </c>
      <c r="C13" s="862">
        <f>IF(ISNUMBER(NºAsuntos!I13/NºAsuntos!G13),NºAsuntos!I13/NºAsuntos!G13," - ")</f>
        <v>2.1947791164658637</v>
      </c>
      <c r="D13" s="863">
        <f>IF(ISNUMBER('Resol  Asuntos'!D13/NºAsuntos!G13),'Resol  Asuntos'!D13/NºAsuntos!G13," - ")</f>
        <v>0.26104417670682734</v>
      </c>
      <c r="E13" s="864">
        <f>IF(ISNUMBER((NºAsuntos!C13+NºAsuntos!E13)/NºAsuntos!G13),(NºAsuntos!C13+NºAsuntos!E13)/NºAsuntos!G13," - ")</f>
        <v>3.1947791164658637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1.0025188916876575</v>
      </c>
      <c r="C16" s="446">
        <f>IF(ISNUMBER(NºAsuntos!I16/NºAsuntos!G16),NºAsuntos!I16/NºAsuntos!G16," - ")</f>
        <v>1.2412060301507537</v>
      </c>
      <c r="D16" s="447">
        <f>IF(ISNUMBER('Resol  Asuntos'!D16/NºAsuntos!G16),'Resol  Asuntos'!D16/NºAsuntos!G16," - ")</f>
        <v>0.17587939698492464</v>
      </c>
      <c r="E16" s="448">
        <f>IF(ISNUMBER((NºAsuntos!C16+NºAsuntos!E16)/NºAsuntos!G16),(NºAsuntos!C16+NºAsuntos!E16)/NºAsuntos!G16," - ")</f>
        <v>2.2185929648241207</v>
      </c>
      <c r="G16" s="466"/>
    </row>
    <row r="17" spans="1:7" ht="13.5" thickBot="1">
      <c r="A17" s="405" t="str">
        <f>Datos!A17</f>
        <v>Jdos. Violencia contra la mujer</v>
      </c>
      <c r="B17" s="445">
        <f>IF(ISNUMBER(NºAsuntos!G17/NºAsuntos!E17),NºAsuntos!G17/NºAsuntos!E17," - ")</f>
        <v>1.0714285714285714</v>
      </c>
      <c r="C17" s="446">
        <f>IF(ISNUMBER(NºAsuntos!I17/NºAsuntos!G17),NºAsuntos!I17/NºAsuntos!G17," - ")</f>
        <v>1.0444444444444445</v>
      </c>
      <c r="D17" s="447">
        <f>IF(ISNUMBER('Resol  Asuntos'!D17/NºAsuntos!G17),'Resol  Asuntos'!D17/NºAsuntos!G17," - ")</f>
        <v>6.6666666666666666E-2</v>
      </c>
      <c r="E17" s="448">
        <f>IF(ISNUMBER((NºAsuntos!C17+NºAsuntos!E17)/NºAsuntos!G17),(NºAsuntos!C17+NºAsuntos!E17)/NºAsuntos!G17," - ")</f>
        <v>2.0444444444444443</v>
      </c>
      <c r="G17" s="466"/>
    </row>
    <row r="18" spans="1:7" ht="14.25" thickTop="1" thickBot="1">
      <c r="A18" s="851" t="str">
        <f>Datos!A18</f>
        <v>TOTAL</v>
      </c>
      <c r="B18" s="861">
        <f>IF(ISNUMBER(NºAsuntos!G18/NºAsuntos!E18),NºAsuntos!G18/NºAsuntos!E18," - ")</f>
        <v>1.0091116173120729</v>
      </c>
      <c r="C18" s="862">
        <f>IF(ISNUMBER(NºAsuntos!I18/NºAsuntos!G18),NºAsuntos!I18/NºAsuntos!G18," - ")</f>
        <v>1.2212189616252822</v>
      </c>
      <c r="D18" s="865">
        <f>IF(ISNUMBER('Resol  Asuntos'!D18/NºAsuntos!G18),'Resol  Asuntos'!D18/NºAsuntos!G18," - ")</f>
        <v>0.16478555304740405</v>
      </c>
      <c r="E18" s="864">
        <f>IF(ISNUMBER((NºAsuntos!C18+NºAsuntos!E18)/NºAsuntos!G18),(NºAsuntos!C18+NºAsuntos!E18)/NºAsuntos!G18," - ")</f>
        <v>2.2009029345372459</v>
      </c>
      <c r="G18" s="466"/>
    </row>
    <row r="19" spans="1:7" ht="15.75" customHeight="1" thickTop="1" thickBot="1">
      <c r="A19" s="796" t="str">
        <f>Datos!A19</f>
        <v>TOTAL JURISDICCIONES</v>
      </c>
      <c r="B19" s="811">
        <f>IF(ISNUMBER(NºAsuntos!G19/NºAsuntos!E19),NºAsuntos!G19/NºAsuntos!E19," - ")</f>
        <v>0.91093901258470478</v>
      </c>
      <c r="C19" s="812">
        <f>IF(ISNUMBER(NºAsuntos!I19/NºAsuntos!G19),NºAsuntos!I19/NºAsuntos!G19," - ")</f>
        <v>1.7364505844845908</v>
      </c>
      <c r="D19" s="813">
        <f>IF(ISNUMBER('Resol  Asuntos'!D19/NºAsuntos!G19),'Resol  Asuntos'!D19/NºAsuntos!G19," - ")</f>
        <v>0.21572794899043571</v>
      </c>
      <c r="E19" s="814">
        <f>IF(ISNUMBER((NºAsuntos!C19+NºAsuntos!E19)/NºAsuntos!G19),(NºAsuntos!C19+NºAsuntos!E19)/NºAsuntos!G19," - ")</f>
        <v>2.7268862911795964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Q5XPxi34+i//HaOUWFrrs7SEO/5gl/YlUh5lHySNPe9L78GyotWBANmnbmz/JuDbYEuw0yQTFJu9WqfLsj9yw==" saltValue="onqDD5gVge8rxIeVlv967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NAVARRA</v>
      </c>
      <c r="G2" s="266"/>
      <c r="H2" s="265"/>
      <c r="I2" s="265"/>
      <c r="J2" s="265"/>
      <c r="K2" s="265"/>
      <c r="L2" s="265" t="str">
        <f>Criterios!A10 &amp;"  "&amp;Criterios!B10</f>
        <v>Provincias  NAVARRA</v>
      </c>
      <c r="N2" s="265" t="str">
        <f>Criterios!A11 &amp;"  "&amp;Criterios!B11</f>
        <v>Resumenes por Partidos Judiciales  ESTELLA-LIZARRA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35</v>
      </c>
      <c r="G10" s="336">
        <f>IF(ISNUMBER(Datos!I10),Datos!I10," - ")</f>
        <v>35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3</v>
      </c>
      <c r="Y10" s="337">
        <f t="shared" ref="Y10:Y12" si="0">SUM(W10:X10)</f>
        <v>8</v>
      </c>
      <c r="Z10" s="338" t="str">
        <f>IF(ISNUMBER(Datos!CC10),Datos!CC10," - ")</f>
        <v xml:space="preserve"> - </v>
      </c>
      <c r="AA10" s="335">
        <f>IF(ISNUMBER(Datos!L10),Datos!L10,"-")</f>
        <v>36</v>
      </c>
      <c r="AB10" s="337">
        <f>IF(ISNUMBER(Datos!R10),Datos!R10," - ")</f>
        <v>12</v>
      </c>
      <c r="AC10" s="337">
        <f t="shared" ref="AC10:AC12" si="1">IF(ISNUMBER(AA10+AB10),AA10+AB10," - ")</f>
        <v>48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0.83333333333333337</v>
      </c>
      <c r="AM10" s="263">
        <f>IF(ISNUMBER(((NºAsuntos!I10/NºAsuntos!G10)*11)/factor_trimestre),((NºAsuntos!I10/NºAsuntos!G10)*11)/factor_trimestre," - ")</f>
        <v>21.6</v>
      </c>
      <c r="AN10" s="247">
        <f>IF(ISNUMBER('Resol  Asuntos'!D10/NºAsuntos!G10),'Resol  Asuntos'!D10/NºAsuntos!G10," - ")</f>
        <v>0.2</v>
      </c>
      <c r="AO10" s="248">
        <f>IF(ISNUMBER((NºAsuntos!C10+NºAsuntos!E10)/NºAsuntos!G10),(NºAsuntos!C10+NºAsuntos!E10)/NºAsuntos!G10," - ")</f>
        <v>8.1999999999999993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88</v>
      </c>
      <c r="Y12" s="337">
        <f t="shared" si="0"/>
        <v>88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1382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129</v>
      </c>
      <c r="AJ12" s="232" t="str">
        <f>IF(ISNUMBER(Datos!BW12),Datos!BW12," - ")</f>
        <v xml:space="preserve"> - </v>
      </c>
      <c r="AK12" s="231" t="str">
        <f>IF(ISNUMBER(Datos!BX12),Datos!BX12," - ")</f>
        <v xml:space="preserve"> - </v>
      </c>
      <c r="AL12" s="246">
        <f>IF(ISNUMBER(NºAsuntos!G12/NºAsuntos!E12),NºAsuntos!G12/NºAsuntos!E12," - ")</f>
        <v>0.83843537414965985</v>
      </c>
      <c r="AM12" s="263">
        <f>IF(ISNUMBER(((NºAsuntos!I12/NºAsuntos!G12)*11)/factor_trimestre),((NºAsuntos!I12/NºAsuntos!G12)*11)/factor_trimestre," - ")</f>
        <v>6.4320486815415823</v>
      </c>
      <c r="AN12" s="247">
        <f>IF(ISNUMBER('Resol  Asuntos'!D12/NºAsuntos!G12),'Resol  Asuntos'!D12/NºAsuntos!G12," - ")</f>
        <v>0.26166328600405681</v>
      </c>
      <c r="AO12" s="248">
        <f>IF(ISNUMBER((NºAsuntos!C12+NºAsuntos!E12)/NºAsuntos!G12),(NºAsuntos!C12+NºAsuntos!E12)/NºAsuntos!G12," - ")</f>
        <v>3.1440162271805274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35</v>
      </c>
      <c r="G13" s="869">
        <f t="shared" si="3"/>
        <v>35</v>
      </c>
      <c r="H13" s="868">
        <f t="shared" si="3"/>
        <v>0</v>
      </c>
      <c r="I13" s="870">
        <f t="shared" si="3"/>
        <v>0</v>
      </c>
      <c r="J13" s="870">
        <f t="shared" si="3"/>
        <v>0</v>
      </c>
      <c r="K13" s="870">
        <f t="shared" si="3"/>
        <v>0</v>
      </c>
      <c r="L13" s="870">
        <f t="shared" si="3"/>
        <v>129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91</v>
      </c>
      <c r="Y13" s="871">
        <f t="shared" si="4"/>
        <v>96</v>
      </c>
      <c r="Z13" s="871">
        <f t="shared" si="4"/>
        <v>0</v>
      </c>
      <c r="AA13" s="871">
        <f t="shared" si="4"/>
        <v>36</v>
      </c>
      <c r="AB13" s="871">
        <f t="shared" si="4"/>
        <v>1394</v>
      </c>
      <c r="AC13" s="871">
        <f t="shared" si="4"/>
        <v>48</v>
      </c>
      <c r="AD13" s="871">
        <f t="shared" si="4"/>
        <v>0</v>
      </c>
      <c r="AE13" s="875">
        <f t="shared" si="4"/>
        <v>0</v>
      </c>
      <c r="AF13" s="868">
        <f t="shared" si="4"/>
        <v>0</v>
      </c>
      <c r="AG13" s="876">
        <f t="shared" si="4"/>
        <v>0</v>
      </c>
      <c r="AH13" s="873">
        <f t="shared" si="4"/>
        <v>0</v>
      </c>
      <c r="AI13" s="868">
        <f t="shared" si="4"/>
        <v>130</v>
      </c>
      <c r="AJ13" s="870">
        <f t="shared" si="4"/>
        <v>0</v>
      </c>
      <c r="AK13" s="873">
        <f>SUBTOTAL(9,AK9:AK12)</f>
        <v>0</v>
      </c>
      <c r="AL13" s="877">
        <f>IF(ISNUMBER(NºAsuntos!G13/NºAsuntos!E13),NºAsuntos!G13/NºAsuntos!E13," - ")</f>
        <v>0.83838383838383834</v>
      </c>
      <c r="AM13" s="877">
        <f>IF(ISNUMBER(((NºAsuntos!I13/NºAsuntos!G13)*11)/factor_trimestre),((NºAsuntos!I13/NºAsuntos!G13)*11)/factor_trimestre," - ")</f>
        <v>6.5843373493975905</v>
      </c>
      <c r="AN13" s="878">
        <f>IF(ISNUMBER('Resol  Asuntos'!D13/NºAsuntos!G13),'Resol  Asuntos'!D13/NºAsuntos!G13," - ")</f>
        <v>0.26104417670682734</v>
      </c>
      <c r="AO13" s="879">
        <f>IF(ISNUMBER((NºAsuntos!C13+NºAsuntos!E13)/NºAsuntos!G13),(NºAsuntos!C13+NºAsuntos!E13)/NºAsuntos!G13," - ")</f>
        <v>3.1947791164658637</v>
      </c>
      <c r="AP13" s="880" t="str">
        <f t="shared" si="2"/>
        <v xml:space="preserve"> - </v>
      </c>
      <c r="AQ13" s="880">
        <f>IF(ISNUMBER((H13-W13+K13)/(F13)),(H13-W13+K13)/(F13)," - ")</f>
        <v>-0.14285714285714285</v>
      </c>
      <c r="AR13" s="881">
        <f>IF(ISNUMBER((Datos!P13-Datos!Q13)/(Datos!R13-Datos!P13+Datos!Q13)),(Datos!P13-Datos!Q13)/(Datos!R13-Datos!P13+Datos!Q13)," - ")</f>
        <v>2.8023598820058997E-2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495</v>
      </c>
      <c r="G16" s="336">
        <f>IF(ISNUMBER(IF(D_I="SI",Datos!I16,Datos!I16+Datos!AC16)),IF(D_I="SI",Datos!I16,Datos!I16+Datos!AC16)," - ")</f>
        <v>486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398</v>
      </c>
      <c r="X16" s="229">
        <f>IF(ISNUMBER(Datos!Q16),Datos!Q16," - ")</f>
        <v>9</v>
      </c>
      <c r="Y16" s="337">
        <f t="shared" ref="Y16:Y17" si="7">SUM(W16:X16)</f>
        <v>407</v>
      </c>
      <c r="Z16" s="338" t="str">
        <f>IF(ISNUMBER(Datos!CC16),Datos!CC16," - ")</f>
        <v xml:space="preserve"> - </v>
      </c>
      <c r="AA16" s="335">
        <f>IF(ISNUMBER(IF(D_I="SI",Datos!L16,Datos!L16+Datos!AF16)),IF(D_I="SI",Datos!L16,Datos!L16+Datos!AF16)," - ")</f>
        <v>494</v>
      </c>
      <c r="AB16" s="337">
        <f>IF(ISNUMBER(Datos!R16),Datos!R16," - ")</f>
        <v>56</v>
      </c>
      <c r="AC16" s="337">
        <f t="shared" si="6"/>
        <v>550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70</v>
      </c>
      <c r="AJ16" s="234" t="str">
        <f>IF(ISNUMBER(Datos!BW16),Datos!BW16," - ")</f>
        <v xml:space="preserve"> - </v>
      </c>
      <c r="AK16" s="235" t="str">
        <f>IF(ISNUMBER(Datos!BX16),Datos!BX16," - ")</f>
        <v xml:space="preserve"> - </v>
      </c>
      <c r="AL16" s="246">
        <f>IF(ISNUMBER(NºAsuntos!G16/NºAsuntos!E16),NºAsuntos!G16/NºAsuntos!E16," - ")</f>
        <v>1.0025188916876575</v>
      </c>
      <c r="AM16" s="263">
        <f>IF(ISNUMBER(((NºAsuntos!I16/NºAsuntos!G16)*11)/factor_trimestre),((NºAsuntos!I16/NºAsuntos!G16)*11)/factor_trimestre," - ")</f>
        <v>3.7236180904522613</v>
      </c>
      <c r="AN16" s="247">
        <f>IF(ISNUMBER('Resol  Asuntos'!D16/NºAsuntos!G16),'Resol  Asuntos'!D16/NºAsuntos!G16," - ")</f>
        <v>0.17587939698492464</v>
      </c>
      <c r="AO16" s="248">
        <f>IF(ISNUMBER((NºAsuntos!C16+NºAsuntos!E16)/NºAsuntos!G16),(NºAsuntos!C16+NºAsuntos!E16)/NºAsuntos!G16," - ")</f>
        <v>2.2185929648241207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45</v>
      </c>
      <c r="X17" s="229">
        <f>IF(ISNUMBER(Datos!Q17),Datos!Q17," - ")</f>
        <v>0</v>
      </c>
      <c r="Y17" s="337">
        <f t="shared" si="7"/>
        <v>45</v>
      </c>
      <c r="Z17" s="338" t="str">
        <f>IF(ISNUMBER(Datos!CC17),Datos!CC17," - ")</f>
        <v xml:space="preserve"> - </v>
      </c>
      <c r="AA17" s="335">
        <f>IF(ISNUMBER(Datos!L17),Datos!L17,"-")</f>
        <v>47</v>
      </c>
      <c r="AB17" s="337">
        <f>IF(ISNUMBER(Datos!R17),Datos!R17," - ")</f>
        <v>1</v>
      </c>
      <c r="AC17" s="337">
        <f t="shared" si="6"/>
        <v>48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1.0714285714285714</v>
      </c>
      <c r="AM17" s="263">
        <f>IF(ISNUMBER(((NºAsuntos!I17/NºAsuntos!G17)*11)/factor_trimestre),((NºAsuntos!I17/NºAsuntos!G17)*11)/factor_trimestre," - ")</f>
        <v>3.1333333333333333</v>
      </c>
      <c r="AN17" s="247">
        <f>IF(ISNUMBER('Resol  Asuntos'!D17/NºAsuntos!G17),'Resol  Asuntos'!D17/NºAsuntos!G17," - ")</f>
        <v>6.6666666666666666E-2</v>
      </c>
      <c r="AO17" s="248">
        <f>IF(ISNUMBER((NºAsuntos!C17+NºAsuntos!E17)/NºAsuntos!G17),(NºAsuntos!C17+NºAsuntos!E17)/NºAsuntos!G17," - ")</f>
        <v>2.0444444444444443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495</v>
      </c>
      <c r="G18" s="869">
        <f>SUBTOTAL(9,G15:G17)</f>
        <v>536</v>
      </c>
      <c r="H18" s="868">
        <f t="shared" ref="H18:O18" si="10">SUBTOTAL(9,H14:H17)</f>
        <v>0</v>
      </c>
      <c r="I18" s="870">
        <f t="shared" si="10"/>
        <v>0</v>
      </c>
      <c r="J18" s="870">
        <f t="shared" si="10"/>
        <v>0</v>
      </c>
      <c r="K18" s="870">
        <f t="shared" si="10"/>
        <v>0</v>
      </c>
      <c r="L18" s="870">
        <f t="shared" si="10"/>
        <v>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443</v>
      </c>
      <c r="X18" s="870">
        <f t="shared" si="11"/>
        <v>9</v>
      </c>
      <c r="Y18" s="871">
        <f t="shared" si="11"/>
        <v>452</v>
      </c>
      <c r="Z18" s="871">
        <f t="shared" si="11"/>
        <v>0</v>
      </c>
      <c r="AA18" s="871">
        <f t="shared" si="11"/>
        <v>541</v>
      </c>
      <c r="AB18" s="871">
        <f t="shared" si="11"/>
        <v>57</v>
      </c>
      <c r="AC18" s="871">
        <f t="shared" si="11"/>
        <v>598</v>
      </c>
      <c r="AD18" s="871">
        <f t="shared" si="11"/>
        <v>0</v>
      </c>
      <c r="AE18" s="875">
        <f t="shared" si="11"/>
        <v>0</v>
      </c>
      <c r="AF18" s="868">
        <f t="shared" si="11"/>
        <v>0</v>
      </c>
      <c r="AG18" s="876">
        <f t="shared" si="11"/>
        <v>0</v>
      </c>
      <c r="AH18" s="873">
        <f t="shared" si="11"/>
        <v>0</v>
      </c>
      <c r="AI18" s="868">
        <f t="shared" si="11"/>
        <v>73</v>
      </c>
      <c r="AJ18" s="870">
        <f t="shared" si="11"/>
        <v>0</v>
      </c>
      <c r="AK18" s="873">
        <f t="shared" si="11"/>
        <v>0</v>
      </c>
      <c r="AL18" s="877">
        <f>IF(ISNUMBER(NºAsuntos!G18/NºAsuntos!E18),NºAsuntos!G18/NºAsuntos!E18," - ")</f>
        <v>1.0091116173120729</v>
      </c>
      <c r="AM18" s="877">
        <f>IF(ISNUMBER(((NºAsuntos!I18/NºAsuntos!G18)*11)/factor_trimestre),((NºAsuntos!I18/NºAsuntos!G18)*11)/factor_trimestre," - ")</f>
        <v>3.6636568848758468</v>
      </c>
      <c r="AN18" s="878">
        <f>IF(ISNUMBER('Resol  Asuntos'!D18/NºAsuntos!G18),'Resol  Asuntos'!D18/NºAsuntos!G18," - ")</f>
        <v>0.16478555304740405</v>
      </c>
      <c r="AO18" s="879">
        <f>IF(ISNUMBER((NºAsuntos!C18+NºAsuntos!E18)/NºAsuntos!G18),(NºAsuntos!C18+NºAsuntos!E18)/NºAsuntos!G18," - ")</f>
        <v>2.2009029345372459</v>
      </c>
      <c r="AP18" s="880" t="str">
        <f t="shared" si="2"/>
        <v xml:space="preserve"> - </v>
      </c>
      <c r="AQ18" s="880">
        <f>IF(ISNUMBER((H18-W18+K18)/(F18)),(H18-W18+K18)/(F18)," - ")</f>
        <v>-0.89494949494949494</v>
      </c>
      <c r="AR18" s="881">
        <f>IF(ISNUMBER((Datos!P18-Datos!Q18)/(Datos!R18-Datos!P18+Datos!Q18)),(Datos!P18-Datos!Q18)/(Datos!R18-Datos!P18+Datos!Q18)," - ")</f>
        <v>-3.3898305084745763E-2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530</v>
      </c>
      <c r="G19" s="824">
        <f t="shared" si="13"/>
        <v>571</v>
      </c>
      <c r="H19" s="823">
        <f t="shared" si="13"/>
        <v>0</v>
      </c>
      <c r="I19" s="825">
        <f t="shared" si="13"/>
        <v>0</v>
      </c>
      <c r="J19" s="825">
        <f t="shared" si="13"/>
        <v>0</v>
      </c>
      <c r="K19" s="884">
        <f t="shared" si="13"/>
        <v>0</v>
      </c>
      <c r="L19" s="825">
        <f t="shared" si="13"/>
        <v>136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448</v>
      </c>
      <c r="X19" s="824">
        <f t="shared" si="14"/>
        <v>100</v>
      </c>
      <c r="Y19" s="831">
        <f t="shared" si="14"/>
        <v>548</v>
      </c>
      <c r="Z19" s="831">
        <f t="shared" si="14"/>
        <v>0</v>
      </c>
      <c r="AA19" s="831">
        <f t="shared" si="14"/>
        <v>577</v>
      </c>
      <c r="AB19" s="831">
        <f t="shared" si="14"/>
        <v>1451</v>
      </c>
      <c r="AC19" s="831">
        <f t="shared" si="14"/>
        <v>646</v>
      </c>
      <c r="AD19" s="831">
        <f t="shared" si="14"/>
        <v>0</v>
      </c>
      <c r="AE19" s="833">
        <f t="shared" si="14"/>
        <v>0</v>
      </c>
      <c r="AF19" s="834">
        <f t="shared" si="14"/>
        <v>0</v>
      </c>
      <c r="AG19" s="835">
        <f t="shared" si="14"/>
        <v>0</v>
      </c>
      <c r="AH19" s="833">
        <f t="shared" si="14"/>
        <v>0</v>
      </c>
      <c r="AI19" s="823">
        <f t="shared" si="14"/>
        <v>203</v>
      </c>
      <c r="AJ19" s="823">
        <f t="shared" si="14"/>
        <v>0</v>
      </c>
      <c r="AK19" s="833">
        <f t="shared" si="14"/>
        <v>0</v>
      </c>
      <c r="AL19" s="887">
        <f>IF(ISNUMBER(NºAsuntos!G19/NºAsuntos!E19),NºAsuntos!G19/NºAsuntos!E19," - ")</f>
        <v>0.91093901258470478</v>
      </c>
      <c r="AM19" s="888">
        <f>IF(ISNUMBER(((NºAsuntos!I19/NºAsuntos!G19)*11)/factor_trimestre),((NºAsuntos!I19/NºAsuntos!G19)*11)/factor_trimestre," - ")</f>
        <v>5.2093517534537721</v>
      </c>
      <c r="AN19" s="888">
        <f>IF(ISNUMBER('Resol  Asuntos'!D19/NºAsuntos!G19),'Resol  Asuntos'!D19/NºAsuntos!G19," - ")</f>
        <v>0.21572794899043571</v>
      </c>
      <c r="AO19" s="889">
        <f>IF(ISNUMBER((NºAsuntos!C19+NºAsuntos!E19)/NºAsuntos!G19),(NºAsuntos!C19+NºAsuntos!E19)/NºAsuntos!G19," - ")</f>
        <v>2.7268862911795964</v>
      </c>
      <c r="AP19" s="890" t="str">
        <f t="shared" si="2"/>
        <v xml:space="preserve"> - </v>
      </c>
      <c r="AQ19" s="891">
        <f>IF(OR(ISNUMBER(FIND("01",Criterios!A8,1)),ISNUMBER(FIND("02",Criterios!A8,1)),ISNUMBER(FIND("03",Criterios!A8,1)),ISNUMBER(FIND("04",Criterios!A8,1))),(I19-W19+K19)/(F19-K19),(H19-W19+K19)/(F19-K19))</f>
        <v>-0.84528301886792456</v>
      </c>
      <c r="AR19" s="892">
        <f>IF(ISNUMBER((Datos!P19-Datos!Q19)/(Datos!R19-Datos!P19+Datos!Q19)),(Datos!P19-Datos!Q19)/(Datos!R19-Datos!P19+Datos!Q19)," - ")</f>
        <v>2.5441696113074206E-2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228.4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265.58112382722783</v>
      </c>
      <c r="G21" s="256">
        <f>IF(ISNUMBER(STDEV(G8:G18)),STDEV(G8:G18),"-")</f>
        <v>258.65478924620749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221.45247797213739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57.109252023351402</v>
      </c>
      <c r="AJ21" s="255">
        <f t="shared" si="18"/>
        <v>0</v>
      </c>
      <c r="AK21" s="257">
        <f t="shared" si="18"/>
        <v>0</v>
      </c>
      <c r="AL21" s="252">
        <f t="shared" si="18"/>
        <v>0.10734303284729169</v>
      </c>
      <c r="AM21" s="253">
        <f t="shared" si="18"/>
        <v>7.0545332489346535</v>
      </c>
      <c r="AN21" s="253">
        <f t="shared" si="18"/>
        <v>7.2543277874790618E-2</v>
      </c>
      <c r="AO21" s="254">
        <f t="shared" si="18"/>
        <v>2.3561910846756886</v>
      </c>
      <c r="AP21" s="294" t="str">
        <f t="shared" si="18"/>
        <v>-</v>
      </c>
      <c r="AQ21" s="295">
        <f t="shared" si="18"/>
        <v>0.53180960224304286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dC0M08i1H3L27obPJpjjCx3WOKQvHQ2sVbFi9b9rUSrqsNWZ6QbYK6K7WI3vZ5J++tLoVenSRGYOuEwXFat1A==" saltValue="nd3epJau9cKyFYYpDX4U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NAVARRA</v>
      </c>
      <c r="E2" s="266"/>
    </row>
    <row r="3" spans="2:20" ht="17.25" customHeight="1">
      <c r="C3" s="270"/>
      <c r="D3" s="265" t="str">
        <f>Criterios!A10 &amp;"  "&amp;Criterios!B10</f>
        <v>Provincias  NAVARRA</v>
      </c>
      <c r="E3" s="266"/>
    </row>
    <row r="4" spans="2:20" ht="17.25" customHeight="1" thickBot="1">
      <c r="D4" s="265" t="str">
        <f>Criterios!A11 &amp;"  "&amp;Criterios!B11</f>
        <v>Resumenes por Partidos Judiciales  ESTELLA-LIZARRA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-0.14634146341463414</v>
      </c>
      <c r="E10" s="351">
        <f>IF(ISNUMBER((Datos!J10-Datos!T10)/Datos!T10),(Datos!J10-Datos!T10)/Datos!T10," - ")</f>
        <v>-0.4</v>
      </c>
      <c r="F10" s="351">
        <f>IF(ISNUMBER((Datos!K10-Datos!U10)/Datos!U10),(Datos!K10-Datos!U10)/Datos!U10," - ")</f>
        <v>-0.66666666666666663</v>
      </c>
      <c r="G10" s="352">
        <f>IF(ISNUMBER((Datos!L10-Datos!V10)/Datos!V10),(Datos!L10-Datos!V10)/Datos!V10," - ")</f>
        <v>0</v>
      </c>
      <c r="H10" s="233" t="str">
        <f>IF(ISNUMBER((Datos!M10-Datos!W10)/Datos!W10),(Datos!M10-Datos!W10)/Datos!W10," - ")</f>
        <v xml:space="preserve"> - </v>
      </c>
      <c r="I10" s="353">
        <f>IF(ISNUMBER((Tasas!C10-Datos!BE10)/Datos!BE10),(Tasas!C10-Datos!BE10)/Datos!BE10," - ")</f>
        <v>2.0000000000000004</v>
      </c>
      <c r="J10" s="352" t="str">
        <f>IF(ISNUMBER((Tasas!D10-Datos!BF10)/Datos!BF10),(Tasas!D10-Datos!BF10)/Datos!BF10," - ")</f>
        <v xml:space="preserve"> - </v>
      </c>
      <c r="K10" s="354">
        <f>IF(ISNUMBER((Tasas!E10-Datos!BG10)/Datos!BG10),(Tasas!E10-Datos!BG10)/Datos!BG10," - ")</f>
        <v>1.4117647058823526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0.15178571428571427</v>
      </c>
      <c r="I12" s="353">
        <f>IF(ISNUMBER((Tasas!C12-Datos!BE12)/Datos!BE12),(Tasas!C12-Datos!BE12)/Datos!BE12," - ")</f>
        <v>0.28038439796495196</v>
      </c>
      <c r="J12" s="352">
        <f>IF(ISNUMBER((Tasas!D12-Datos!BF12)/Datos!BF12),(Tasas!D12-Datos!BF12)/Datos!BF12," - ")</f>
        <v>-0.17112872135360885</v>
      </c>
      <c r="K12" s="354">
        <f>IF(ISNUMBER((Tasas!E12-Datos!BG12)/Datos!BG12),(Tasas!E12-Datos!BG12)/Datos!BG12," - ")</f>
        <v>0.17554858934169287</v>
      </c>
      <c r="M12" t="e">
        <f>IF(Monitorios="SI",Datos!CE12,0)</f>
        <v>#REF!</v>
      </c>
      <c r="N12" t="e">
        <f>IF(Monitorios="SI",Datos!CF12,0)</f>
        <v>#REF!</v>
      </c>
      <c r="O12" t="e">
        <f>IF(Monitorios="SI",Datos!CG12,0)</f>
        <v>#REF!</v>
      </c>
      <c r="P12" t="e">
        <f>IF(Monitorios="SI",Datos!CH12,0)</f>
        <v>#REF!</v>
      </c>
      <c r="Q12">
        <f>IF(J_V="SI",0,Datos!AG12)</f>
        <v>26</v>
      </c>
      <c r="R12">
        <f>IF(J_V="SI",0,Datos!AH12)</f>
        <v>40</v>
      </c>
      <c r="S12">
        <f>IF(J_V="SI",0,Datos!AI12)</f>
        <v>58</v>
      </c>
      <c r="T12">
        <f>IF(J_V="SI",0,Datos!AJ12)</f>
        <v>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0.16071428571428573</v>
      </c>
      <c r="I13" s="360">
        <f>IF(ISNUMBER((Tasas!C13-Datos!BE13)/Datos!BE13),(Tasas!C13-Datos!BE13)/Datos!BE13," - ")</f>
        <v>0.29467307431975104</v>
      </c>
      <c r="J13" s="358">
        <f>IF(ISNUMBER((Tasas!D13-Datos!BF13)/Datos!BF13),(Tasas!D13-Datos!BF13)/Datos!BF13," - ")</f>
        <v>-0.14876898899947602</v>
      </c>
      <c r="K13" s="361">
        <f>IF(ISNUMBER((Tasas!E13-Datos!BG13)/Datos!BG13),(Tasas!E13-Datos!BG13)/Datos!BG13," - ")</f>
        <v>0.18534207501383626</v>
      </c>
      <c r="M13" t="e">
        <f>IF(Monitorios="SI",Datos!CE13,0)</f>
        <v>#REF!</v>
      </c>
      <c r="N13" t="e">
        <f>IF(Monitorios="SI",Datos!CF13,0)</f>
        <v>#REF!</v>
      </c>
      <c r="O13" t="e">
        <f>IF(Monitorios="SI",Datos!CG13,0)</f>
        <v>#REF!</v>
      </c>
      <c r="P13" t="e">
        <f>IF(Monitorios="SI",Datos!CH13,0)</f>
        <v>#REF!</v>
      </c>
      <c r="Q13">
        <f>IF(J_V="SI",0,Datos!AG13)</f>
        <v>26</v>
      </c>
      <c r="R13">
        <f>IF(J_V="SI",0,Datos!AH13)</f>
        <v>40</v>
      </c>
      <c r="S13">
        <f>IF(J_V="SI",0,Datos!AI13)</f>
        <v>58</v>
      </c>
      <c r="T13">
        <f>IF(J_V="SI",0,Datos!AJ13)</f>
        <v>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0.24296675191815856</v>
      </c>
      <c r="E16" s="351">
        <f>IF(ISNUMBER(
   IF(D_I="SI",(Datos!J16-Datos!T16)/Datos!T16,(Datos!J16+Datos!AD16-(Datos!T16+Datos!AL16))/(Datos!T16+Datos!AL16))
     ),IF(D_I="SI",(Datos!J16-Datos!T16)/Datos!T16,(Datos!J16+Datos!AD16-(Datos!T16+Datos!AL16))/(Datos!T16+Datos!AL16))," - ")</f>
        <v>-1.2437810945273632E-2</v>
      </c>
      <c r="F16" s="351">
        <f>IF(ISNUMBER(
   IF(D_I="SI",(Datos!K16-Datos!U16)/Datos!U16,(Datos!K16+Datos!AE16-(Datos!U16+Datos!AM16))/(Datos!U16+Datos!AM16))
     ),IF(D_I="SI",(Datos!K16-Datos!U16)/Datos!U16,(Datos!K16+Datos!AE16-(Datos!U16+Datos!AM16))/(Datos!U16+Datos!AM16))," - ")</f>
        <v>-0.20558882235528941</v>
      </c>
      <c r="G16" s="352">
        <f>IF(ISNUMBER(
   IF(D_I="SI",(Datos!L16-Datos!V16)/Datos!V16,(Datos!L16+Datos!AF16-(Datos!V16+Datos!AN16))/(Datos!V16+Datos!AN16))
     ),IF(D_I="SI",(Datos!L16-Datos!V16)/Datos!V16,(Datos!L16+Datos!AF16-(Datos!V16+Datos!AN16))/(Datos!V16+Datos!AN16))," - ")</f>
        <v>0.69178082191780821</v>
      </c>
      <c r="H16" s="233">
        <f>IF(ISNUMBER((Datos!M16-Datos!W16)/Datos!W16),(Datos!M16-Datos!W16)/Datos!W16," - ")</f>
        <v>6.0606060606060608E-2</v>
      </c>
      <c r="I16" s="353">
        <f>IF(ISNUMBER((Tasas!C16-Datos!BE16)/Datos!BE16),(Tasas!C16-Datos!BE16)/Datos!BE16," - ")</f>
        <v>1.1296034969367386</v>
      </c>
      <c r="J16" s="352">
        <f>IF(ISNUMBER((Tasas!D16-Datos!BF16)/Datos!BF16),(Tasas!D16-Datos!BF16)/Datos!BF16," - ")</f>
        <v>0.33508451347647328</v>
      </c>
      <c r="K16" s="354">
        <f>IF(ISNUMBER((Tasas!E16-Datos!BG16)/Datos!BG16),(Tasas!E16-Datos!BG16)/Datos!BG16," - ")</f>
        <v>0.40165835482583157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-3.8461538461538464E-2</v>
      </c>
      <c r="E17" s="351">
        <f>IF(ISNUMBER(
   IF(D_I="SI",(Datos!J17-Datos!T17)/Datos!T17,(Datos!J17+Datos!AD17-(Datos!T17+Datos!AL17))/(Datos!T17+Datos!AL17))
     ),IF(D_I="SI",(Datos!J17-Datos!T17)/Datos!T17,(Datos!J17+Datos!AD17-(Datos!T17+Datos!AL17))/(Datos!T17+Datos!AL17))," - ")</f>
        <v>-0.125</v>
      </c>
      <c r="F17" s="351">
        <f>IF(ISNUMBER(
   IF(D_I="SI",(Datos!K17-Datos!U17)/Datos!U17,(Datos!K17+Datos!AE17-(Datos!U17+Datos!AM17))/(Datos!U17+Datos!AM17))
     ),IF(D_I="SI",(Datos!K17-Datos!U17)/Datos!U17,(Datos!K17+Datos!AE17-(Datos!U17+Datos!AM17))/(Datos!U17+Datos!AM17))," - ")</f>
        <v>-0.16666666666666666</v>
      </c>
      <c r="G17" s="352">
        <f>IF(ISNUMBER(
   IF(D_I="SI",(Datos!L17-Datos!V17)/Datos!V17,(Datos!L17+Datos!AF17-(Datos!V17+Datos!AN17))/(Datos!V17+Datos!AN17))
     ),IF(D_I="SI",(Datos!L17-Datos!V17)/Datos!V17,(Datos!L17+Datos!AF17-(Datos!V17+Datos!AN17))/(Datos!V17+Datos!AN17))," - ")</f>
        <v>2.1739130434782608E-2</v>
      </c>
      <c r="H17" s="233">
        <f>IF(ISNUMBER((Datos!M17-Datos!W17)/Datos!W17),(Datos!M17-Datos!W17)/Datos!W17," - ")</f>
        <v>-0.72727272727272729</v>
      </c>
      <c r="I17" s="353">
        <f>IF(ISNUMBER((Tasas!C17-Datos!BE17)/Datos!BE17),(Tasas!C17-Datos!BE17)/Datos!BE17," - ")</f>
        <v>0.22608695652173919</v>
      </c>
      <c r="J17" s="352">
        <f>IF(ISNUMBER((Tasas!D17-Datos!BF17)/Datos!BF17),(Tasas!D17-Datos!BF17)/Datos!BF17," - ")</f>
        <v>-0.67272727272727262</v>
      </c>
      <c r="K17" s="354">
        <f>IF(ISNUMBER((Tasas!E17-Datos!BG17)/Datos!BG17),(Tasas!E17-Datos!BG17)/Datos!BG17," - ")</f>
        <v>0.10399999999999991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0.20993227990970656</v>
      </c>
      <c r="E18" s="357">
        <f>IF(ISNUMBER(
   IF(D_I="SI",(Datos!J18-Datos!T18)/Datos!T18,(Datos!J18+Datos!AD18-(Datos!T18+Datos!AL18))/(Datos!T18+Datos!AL18))
     ),IF(D_I="SI",(Datos!J18-Datos!T18)/Datos!T18,(Datos!J18+Datos!AD18-(Datos!T18+Datos!AL18))/(Datos!T18+Datos!AL18))," - ")</f>
        <v>-2.4444444444444446E-2</v>
      </c>
      <c r="F18" s="357">
        <f>IF(ISNUMBER(
   IF(D_I="SI",(Datos!K18-Datos!U18)/Datos!U18,(Datos!K18+Datos!AE18-(Datos!U18+Datos!AM18))/(Datos!U18+Datos!AM18))
     ),IF(D_I="SI",(Datos!K18-Datos!U18)/Datos!U18,(Datos!K18+Datos!AE18-(Datos!U18+Datos!AM18))/(Datos!U18+Datos!AM18))," - ")</f>
        <v>-0.20180180180180179</v>
      </c>
      <c r="G18" s="358">
        <f>IF(ISNUMBER(
   IF(D_I="SI",(Datos!L18-Datos!V18)/Datos!V18,(Datos!L18+Datos!AF18-(Datos!V18+Datos!AN18))/(Datos!V18+Datos!AN18))
     ),IF(D_I="SI",(Datos!L18-Datos!V18)/Datos!V18,(Datos!L18+Datos!AF18-(Datos!V18+Datos!AN18))/(Datos!V18+Datos!AN18))," - ")</f>
        <v>0.60059171597633132</v>
      </c>
      <c r="H18" s="359">
        <f>IF(ISNUMBER((Datos!M18-Datos!W18)/Datos!W18),(Datos!M18-Datos!W18)/Datos!W18," - ")</f>
        <v>-5.1948051948051951E-2</v>
      </c>
      <c r="I18" s="360">
        <f>IF(ISNUMBER((Tasas!C18-Datos!BE18)/Datos!BE18),(Tasas!C18-Datos!BE18)/Datos!BE18," - ")</f>
        <v>1.0052559872841171</v>
      </c>
      <c r="J18" s="358">
        <f>IF(ISNUMBER((Tasas!D18-Datos!BF18)/Datos!BF18),(Tasas!D18-Datos!BF18)/Datos!BF18," - ")</f>
        <v>0.18774002521180846</v>
      </c>
      <c r="K18" s="361">
        <f>IF(ISNUMBER((Tasas!E18-Datos!BG18)/Datos!BG18),(Tasas!E18-Datos!BG18)/Datos!BG18," - ")</f>
        <v>0.36786240612337234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0.20424194815396701</v>
      </c>
      <c r="E19" s="366">
        <f>IF(ISNUMBER(
   IF(J_V="SI",(Datos!J19-Datos!T19)/Datos!T19,(Datos!J19+Datos!Z19-(Datos!T19+Datos!AH19))/(Datos!T19+Datos!AH19))
     ),IF(J_V="SI",(Datos!J19-Datos!T19)/Datos!T19,(Datos!J19+Datos!Z19-(Datos!T19+Datos!AH19))/(Datos!T19+Datos!AH19))," - ")</f>
        <v>-1.9323671497584541E-3</v>
      </c>
      <c r="F19" s="366">
        <f>IF(ISNUMBER(
   IF(J_V="SI",(Datos!K19-Datos!U19)/Datos!U19,(Datos!K19+Datos!AA19-(Datos!U19+Datos!AI19))/(Datos!U19+Datos!AI19))
     ),IF(J_V="SI",(Datos!K19-Datos!U19)/Datos!U19,(Datos!K19+Datos!AA19-(Datos!U19+Datos!AI19))/(Datos!U19+Datos!AI19))," - ")</f>
        <v>-0.12870370370370371</v>
      </c>
      <c r="G19" s="367">
        <f>IF(ISNUMBER(
   IF(J_V="SI",(Datos!L19-Datos!V19)/Datos!V19,(Datos!L19+Datos!AB19-(Datos!V19+Datos!AJ19))/(Datos!V19+Datos!AJ19))
     ),IF(J_V="SI",(Datos!L19-Datos!V19)/Datos!V19,(Datos!L19+Datos!AB19-(Datos!V19+Datos!AJ19))/(Datos!V19+Datos!AJ19))," - ")</f>
        <v>0.3306188925081433</v>
      </c>
      <c r="H19" s="368">
        <f>IF(ISNUMBER((Datos!M19-Datos!W19)/Datos!W19),(Datos!M19-Datos!W19)/Datos!W19," - ")</f>
        <v>7.407407407407407E-2</v>
      </c>
      <c r="I19" s="365">
        <f>IF(ISNUMBER((Tasas!C19-Datos!BE19)/Datos!BE19),(Tasas!C19-Datos!BE19)/Datos!BE19," - ")</f>
        <v>0.52717152381380938</v>
      </c>
      <c r="J19" s="366">
        <f>IF(ISNUMBER((Tasas!D19-Datos!BF19)/Datos!BF19),(Tasas!D19-Datos!BF19)/Datos!BF19," - ")</f>
        <v>-2.106644995936743E-2</v>
      </c>
      <c r="K19" s="367">
        <f>IF(ISNUMBER((Tasas!E19-Datos!BG19)/Datos!BG19),(Tasas!E19-Datos!BG19)/Datos!BG19," - ")</f>
        <v>0.27601264925215091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0.18976357941918834</v>
      </c>
      <c r="E21" s="281">
        <f t="shared" si="1"/>
        <v>0.18023069732507541</v>
      </c>
      <c r="F21" s="281">
        <f t="shared" si="1"/>
        <v>0.23830230705096378</v>
      </c>
      <c r="G21" s="282">
        <f t="shared" si="1"/>
        <v>0.36879142047828667</v>
      </c>
      <c r="H21" s="288">
        <f t="shared" si="1"/>
        <v>0.3712073094232079</v>
      </c>
      <c r="I21" s="280">
        <f t="shared" si="1"/>
        <v>0.69891594610786967</v>
      </c>
      <c r="J21" s="281">
        <f t="shared" si="1"/>
        <v>0.38966802908348103</v>
      </c>
      <c r="K21" s="282">
        <f t="shared" si="1"/>
        <v>0.48962749263665212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lHYB+FVvf+OciVtx022wPbIvueKJT7Bj96s4VWp+hQLewWB8bIx6gyJD5ZTFmR5EABunHT+PLVzNENYP40GaA==" saltValue="D/6tyC/FSZbRWaobgXSls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